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mien.goislot\Documents\Etudes pour révision de fiches\2021\Envoi du 31 août 2021\Tableurs\"/>
    </mc:Choice>
  </mc:AlternateContent>
  <bookViews>
    <workbookView xWindow="0" yWindow="0" windowWidth="20490" windowHeight="7620" firstSheet="5" activeTab="7"/>
  </bookViews>
  <sheets>
    <sheet name="LC" sheetId="1" state="hidden" r:id="rId1"/>
    <sheet name="Nombre de Uph final (compar (2)" sheetId="17" state="hidden" r:id="rId2"/>
    <sheet name="Nombre de Uph final (compartime" sheetId="16" state="hidden" r:id="rId3"/>
    <sheet name="U initial" sheetId="6" r:id="rId4"/>
    <sheet name="Ufinal" sheetId="3" r:id="rId5"/>
    <sheet name="Calcul Montants CEE_rampants" sheetId="9" r:id="rId6"/>
    <sheet name="Calcul Montants CEE_Combles" sheetId="11" r:id="rId7"/>
    <sheet name="Calcul Montants CEE_Combiné" sheetId="12" r:id="rId8"/>
    <sheet name="CEE Montants actuels" sheetId="14" r:id="rId9"/>
    <sheet name="Tab_variantes_Uinit" sheetId="15" r:id="rId10"/>
    <sheet name="Feuil8" sheetId="13" state="hidden" r:id="rId11"/>
    <sheet name="Extract_Uinit_ADEME" sheetId="7" state="hidden" r:id="rId12"/>
    <sheet name="Feuil1" sheetId="4" state="hidden" r:id="rId13"/>
  </sheets>
  <definedNames>
    <definedName name="_xlnm._FilterDatabase" localSheetId="11" hidden="1">Extract_Uinit_ADEME!$F$1:$H$148</definedName>
    <definedName name="DonnéesExternes_1" localSheetId="2" hidden="1">'Nombre de Uph final (compartime'!$A$1:$B$19</definedName>
    <definedName name="DonnéesExternes_2" localSheetId="1" hidden="1">'Nombre de Uph final (compar (2)'!$A$1:$B$19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5" i="6" l="1"/>
  <c r="C2" i="17"/>
  <c r="C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B184" i="6"/>
  <c r="B194" i="6"/>
  <c r="B186" i="6"/>
  <c r="B185" i="6"/>
  <c r="B62" i="6"/>
  <c r="B192" i="6"/>
  <c r="B101" i="6"/>
  <c r="B193" i="6"/>
  <c r="D7" i="3"/>
  <c r="C8" i="3"/>
  <c r="D8" i="3"/>
  <c r="D9" i="3"/>
  <c r="D14" i="3" s="1"/>
  <c r="C8" i="11" s="1"/>
  <c r="D11" i="3"/>
  <c r="D12" i="3"/>
  <c r="D15" i="3"/>
  <c r="C8" i="9"/>
  <c r="C9" i="9" s="1"/>
  <c r="H17" i="14"/>
  <c r="H16" i="14"/>
  <c r="H15" i="14"/>
  <c r="D3" i="15"/>
  <c r="E3" i="15"/>
  <c r="F3" i="15"/>
  <c r="G3" i="15"/>
  <c r="H3" i="15"/>
  <c r="I3" i="15"/>
  <c r="J3" i="15"/>
  <c r="K3" i="15"/>
  <c r="D4" i="15"/>
  <c r="E4" i="15"/>
  <c r="F4" i="15"/>
  <c r="G4" i="15"/>
  <c r="H4" i="15"/>
  <c r="I4" i="15"/>
  <c r="J4" i="15"/>
  <c r="K4" i="15"/>
  <c r="D5" i="15"/>
  <c r="E5" i="15"/>
  <c r="F5" i="15"/>
  <c r="G5" i="15"/>
  <c r="H5" i="15"/>
  <c r="I5" i="15"/>
  <c r="J5" i="15"/>
  <c r="K5" i="15"/>
  <c r="C5" i="15"/>
  <c r="C4" i="15"/>
  <c r="C8" i="14"/>
  <c r="C9" i="14"/>
  <c r="F5" i="14"/>
  <c r="C3" i="15"/>
  <c r="C7" i="12"/>
  <c r="C7" i="11"/>
  <c r="C7" i="9"/>
  <c r="G5" i="14"/>
  <c r="G6" i="14"/>
  <c r="F6" i="14"/>
  <c r="H11" i="14"/>
  <c r="H12" i="14"/>
  <c r="H10" i="14"/>
  <c r="G11" i="14"/>
  <c r="G10" i="14"/>
  <c r="G15" i="14"/>
  <c r="G12" i="14"/>
  <c r="G17" i="14"/>
  <c r="G16" i="14"/>
  <c r="D10" i="3"/>
  <c r="D6" i="3"/>
  <c r="N6" i="7"/>
  <c r="C85" i="7"/>
  <c r="C133" i="7"/>
  <c r="C82" i="7"/>
  <c r="C37" i="7"/>
  <c r="C86" i="7"/>
  <c r="C42" i="7"/>
  <c r="C63" i="7"/>
  <c r="C24" i="7"/>
  <c r="C9" i="7"/>
  <c r="C87" i="7"/>
  <c r="C73" i="7"/>
  <c r="C88" i="7"/>
  <c r="C89" i="7"/>
  <c r="C62" i="7"/>
  <c r="C143" i="7"/>
  <c r="C10" i="7"/>
  <c r="C21" i="7"/>
  <c r="C129" i="7"/>
  <c r="C90" i="7"/>
  <c r="C19" i="7"/>
  <c r="C91" i="7"/>
  <c r="C81" i="7"/>
  <c r="C145" i="7"/>
  <c r="C3" i="7"/>
  <c r="C2" i="7"/>
  <c r="C4" i="7"/>
  <c r="C5" i="7"/>
  <c r="C6" i="7"/>
  <c r="C7" i="7"/>
  <c r="C8" i="7"/>
  <c r="C11" i="7"/>
  <c r="C12" i="7"/>
  <c r="C13" i="7"/>
  <c r="C14" i="7"/>
  <c r="C15" i="7"/>
  <c r="C16" i="7"/>
  <c r="C17" i="7"/>
  <c r="C18" i="7"/>
  <c r="C20" i="7"/>
  <c r="C22" i="7"/>
  <c r="C23" i="7"/>
  <c r="C25" i="7"/>
  <c r="C26" i="7"/>
  <c r="C27" i="7"/>
  <c r="C28" i="7"/>
  <c r="C29" i="7"/>
  <c r="C30" i="7"/>
  <c r="C31" i="7"/>
  <c r="C32" i="7"/>
  <c r="C33" i="7"/>
  <c r="C34" i="7"/>
  <c r="C35" i="7"/>
  <c r="C36" i="7"/>
  <c r="C38" i="7"/>
  <c r="C39" i="7"/>
  <c r="C40" i="7"/>
  <c r="C41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4" i="7"/>
  <c r="C65" i="7"/>
  <c r="C66" i="7"/>
  <c r="C67" i="7"/>
  <c r="C68" i="7"/>
  <c r="C69" i="7"/>
  <c r="C70" i="7"/>
  <c r="C71" i="7"/>
  <c r="C72" i="7"/>
  <c r="C74" i="7"/>
  <c r="C75" i="7"/>
  <c r="C76" i="7"/>
  <c r="C77" i="7"/>
  <c r="C78" i="7"/>
  <c r="C79" i="7"/>
  <c r="C80" i="7"/>
  <c r="C83" i="7"/>
  <c r="C84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30" i="7"/>
  <c r="C131" i="7"/>
  <c r="C132" i="7"/>
  <c r="C134" i="7"/>
  <c r="C135" i="7"/>
  <c r="C136" i="7"/>
  <c r="C137" i="7"/>
  <c r="C138" i="7"/>
  <c r="C139" i="7"/>
  <c r="C140" i="7"/>
  <c r="C141" i="7"/>
  <c r="C142" i="7"/>
  <c r="C144" i="7"/>
  <c r="C146" i="7"/>
  <c r="C147" i="7"/>
  <c r="B61" i="6"/>
  <c r="D84" i="7"/>
  <c r="E9" i="6"/>
  <c r="D23" i="6"/>
  <c r="E23" i="6"/>
  <c r="D24" i="6"/>
  <c r="E24" i="6"/>
  <c r="D25" i="6"/>
  <c r="E25" i="6"/>
  <c r="D26" i="6"/>
  <c r="E26" i="6"/>
  <c r="D27" i="6"/>
  <c r="E27" i="6"/>
  <c r="D28" i="6"/>
  <c r="E28" i="6"/>
  <c r="D22" i="6"/>
  <c r="E22" i="6"/>
  <c r="D21" i="6"/>
  <c r="E21" i="6"/>
  <c r="D20" i="6"/>
  <c r="E20" i="6"/>
  <c r="D19" i="6"/>
  <c r="E19" i="6"/>
  <c r="D18" i="6"/>
  <c r="E18" i="6"/>
  <c r="E15" i="6"/>
  <c r="E14" i="6"/>
  <c r="E13" i="6"/>
  <c r="D33" i="6"/>
  <c r="E33" i="6"/>
  <c r="E12" i="6"/>
  <c r="D32" i="6"/>
  <c r="E32" i="6"/>
  <c r="E11" i="6"/>
  <c r="D31" i="6"/>
  <c r="E31" i="6"/>
  <c r="E10" i="6"/>
  <c r="B3" i="4"/>
  <c r="D36" i="4"/>
  <c r="C36" i="4"/>
  <c r="D35" i="4"/>
  <c r="C35" i="4"/>
  <c r="D34" i="4"/>
  <c r="C34" i="4"/>
  <c r="D31" i="4"/>
  <c r="F12" i="4"/>
  <c r="R12" i="4"/>
  <c r="AD12" i="4"/>
  <c r="X12" i="4"/>
  <c r="H31" i="4"/>
  <c r="L31" i="4"/>
  <c r="L20" i="4"/>
  <c r="R20" i="4"/>
  <c r="F20" i="4"/>
  <c r="AJ12" i="4"/>
  <c r="L12" i="4"/>
  <c r="AJ19" i="4"/>
  <c r="AB19" i="4"/>
  <c r="V19" i="4"/>
  <c r="X19" i="4"/>
  <c r="AD19" i="4"/>
  <c r="AH19" i="4"/>
  <c r="AF19" i="4"/>
  <c r="Z19" i="4"/>
  <c r="T19" i="4"/>
  <c r="T30" i="4"/>
  <c r="P30" i="4"/>
  <c r="P31" i="4"/>
  <c r="R30" i="4"/>
  <c r="V30" i="4"/>
  <c r="X31" i="4"/>
  <c r="D34" i="6"/>
  <c r="E34" i="6"/>
  <c r="D29" i="6"/>
  <c r="B41" i="6"/>
  <c r="D40" i="4"/>
  <c r="D39" i="4"/>
  <c r="D41" i="4"/>
  <c r="X20" i="4"/>
  <c r="C39" i="4"/>
  <c r="D45" i="4"/>
  <c r="T31" i="4"/>
  <c r="AD20" i="4"/>
  <c r="C45" i="4"/>
  <c r="AJ20" i="4"/>
  <c r="C46" i="4"/>
  <c r="D46" i="4"/>
  <c r="D44" i="4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L27" i="1"/>
  <c r="L28" i="1"/>
  <c r="L24" i="1"/>
  <c r="L25" i="1"/>
  <c r="L2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E30" i="1"/>
  <c r="E32" i="1"/>
  <c r="B30" i="1"/>
  <c r="H29" i="1"/>
  <c r="H30" i="1"/>
  <c r="I29" i="1"/>
  <c r="I30" i="1"/>
  <c r="J29" i="1"/>
  <c r="J30" i="1"/>
  <c r="F28" i="1"/>
  <c r="F29" i="1"/>
  <c r="F30" i="1"/>
  <c r="F31" i="1"/>
  <c r="F32" i="1"/>
  <c r="E28" i="1"/>
  <c r="C28" i="1"/>
  <c r="C29" i="1"/>
  <c r="C30" i="1"/>
  <c r="C31" i="1"/>
  <c r="C32" i="1"/>
  <c r="I27" i="1"/>
  <c r="J27" i="1"/>
  <c r="H27" i="1"/>
  <c r="I24" i="1"/>
  <c r="I25" i="1"/>
  <c r="J24" i="1"/>
  <c r="J25" i="1"/>
  <c r="F25" i="1"/>
  <c r="H24" i="1"/>
  <c r="H25" i="1"/>
  <c r="J22" i="1"/>
  <c r="I22" i="1"/>
  <c r="H22" i="1"/>
  <c r="B24" i="1"/>
  <c r="B25" i="1"/>
  <c r="C12" i="1"/>
  <c r="F17" i="1"/>
  <c r="F20" i="1"/>
  <c r="E12" i="1"/>
  <c r="E13" i="1"/>
  <c r="E16" i="1"/>
  <c r="E17" i="1"/>
  <c r="E18" i="1"/>
  <c r="E19" i="1"/>
  <c r="E20" i="1"/>
  <c r="F12" i="1"/>
  <c r="C17" i="1"/>
  <c r="C18" i="1"/>
  <c r="C19" i="1"/>
  <c r="C20" i="1"/>
  <c r="C21" i="1"/>
  <c r="C11" i="1"/>
  <c r="B11" i="1"/>
  <c r="B12" i="1"/>
  <c r="B13" i="1"/>
  <c r="B14" i="1"/>
  <c r="B7" i="1"/>
  <c r="B8" i="1"/>
  <c r="B9" i="1"/>
  <c r="D4" i="1"/>
  <c r="D30" i="6"/>
  <c r="E41" i="6"/>
  <c r="E29" i="6"/>
  <c r="C40" i="4"/>
  <c r="C44" i="4"/>
  <c r="C41" i="4"/>
  <c r="C23" i="1"/>
  <c r="C24" i="1"/>
  <c r="C25" i="1"/>
  <c r="B16" i="1"/>
  <c r="B17" i="1"/>
  <c r="B19" i="1"/>
  <c r="B20" i="1"/>
  <c r="E30" i="6"/>
  <c r="C41" i="6"/>
  <c r="D41" i="6"/>
  <c r="C42" i="6"/>
  <c r="E42" i="6"/>
  <c r="D42" i="6"/>
  <c r="B42" i="6"/>
  <c r="B191" i="6"/>
  <c r="C9" i="11" l="1"/>
  <c r="C8" i="12"/>
  <c r="C9" i="12" s="1"/>
  <c r="F5" i="9"/>
  <c r="F6" i="9" s="1"/>
  <c r="G5" i="9"/>
  <c r="G6" i="9" s="1"/>
  <c r="H12" i="9" l="1"/>
  <c r="H11" i="9"/>
  <c r="H10" i="9"/>
  <c r="G12" i="9"/>
  <c r="G17" i="9" s="1"/>
  <c r="H17" i="9" s="1"/>
  <c r="G11" i="9"/>
  <c r="G16" i="9" s="1"/>
  <c r="H16" i="9" s="1"/>
  <c r="G10" i="9"/>
  <c r="G15" i="9" s="1"/>
  <c r="H15" i="9" s="1"/>
  <c r="G5" i="12"/>
  <c r="G6" i="12" s="1"/>
  <c r="F5" i="12"/>
  <c r="F6" i="12" s="1"/>
  <c r="G5" i="11"/>
  <c r="G6" i="11" s="1"/>
  <c r="F5" i="11"/>
  <c r="F6" i="11" s="1"/>
  <c r="G11" i="12" l="1"/>
  <c r="G12" i="12"/>
  <c r="G10" i="12"/>
  <c r="G11" i="11"/>
  <c r="G16" i="11" s="1"/>
  <c r="H16" i="11" s="1"/>
  <c r="G12" i="11"/>
  <c r="G10" i="11"/>
  <c r="G15" i="11" s="1"/>
  <c r="H15" i="11" s="1"/>
  <c r="H10" i="12"/>
  <c r="H11" i="12"/>
  <c r="H12" i="12"/>
  <c r="H11" i="11"/>
  <c r="H10" i="11"/>
  <c r="H12" i="11"/>
  <c r="G17" i="11" l="1"/>
  <c r="H17" i="11" s="1"/>
  <c r="G15" i="12"/>
  <c r="H15" i="12" s="1"/>
  <c r="G17" i="12"/>
  <c r="H17" i="12" s="1"/>
  <c r="G16" i="12"/>
  <c r="H16" i="12" s="1"/>
</calcChain>
</file>

<file path=xl/connections.xml><?xml version="1.0" encoding="utf-8"?>
<connections xmlns="http://schemas.openxmlformats.org/spreadsheetml/2006/main">
  <connection id="1" keepAlive="1" name="Requête - Moyenne de Uph final par annee_construction (groupes)-2019" description="Connexion à la requête « Moyenne de Uph final par annee_construction (groupes)-2019 » dans le classeur." type="5" refreshedVersion="0" background="1">
    <dbPr connection="Provider=Microsoft.Mashup.OleDb.1;Data Source=$Workbook$;Location=&quot;Moyenne de Uph final par annee_construction (groupes)-2019&quot;;Extended Properties=&quot;&quot;" command="SELECT * FROM [Moyenne de Uph final par annee_construction (groupes)-2019]"/>
  </connection>
  <connection id="2" keepAlive="1" name="Requête - Moyenne de Uph final par annee_construction (groupes)-2019 (2)" description="Connexion à la requête « Moyenne de Uph final par annee_construction (groupes)-2019 (2) » dans le classeur." type="5" refreshedVersion="0" background="1">
    <dbPr connection="Provider=Microsoft.Mashup.OleDb.1;Data Source=$Workbook$;Location=&quot;Moyenne de Uph final par annee_construction (groupes)-2019 (2)&quot;;Extended Properties=&quot;&quot;" command="SELECT * FROM [Moyenne de Uph final par annee_construction (groupes)-2019 (2)]"/>
  </connection>
  <connection id="3" keepAlive="1" name="Requête - Nombre de Uph final (compartiments) par Uph final (compartiments)_2019" description="Connexion à la requête « Nombre de Uph final (compartiments) par Uph final (compartiments)_2019 » dans le classeur." type="5" refreshedVersion="0" background="1">
    <dbPr connection="Provider=Microsoft.Mashup.OleDb.1;Data Source=$Workbook$;Location=&quot;Nombre de Uph final (compartiments) par Uph final (compartiments)_2019&quot;;Extended Properties=&quot;&quot;" command="SELECT * FROM [Nombre de Uph final (compartiments) par Uph final (compartiments)_2019]"/>
  </connection>
  <connection id="4" keepAlive="1" name="Requête - Nombre de Uph final (compartiments) par Uph final (compartiments)_2019 (2)" description="Connexion à la requête « Nombre de Uph final (compartiments) par Uph final (compartiments)_2019 (2) » dans le classeur." type="5" refreshedVersion="7" background="1" saveData="1">
    <dbPr connection="Provider=Microsoft.Mashup.OleDb.1;Data Source=$Workbook$;Location=&quot;Nombre de Uph final (compartiments) par Uph final (compartiments)_2019 (2)&quot;;Extended Properties=&quot;&quot;" command="SELECT * FROM [Nombre de Uph final (compartiments) par Uph final (compartiments)_2019 (2)]"/>
  </connection>
  <connection id="5" keepAlive="1" name="Requête - Nombre de Uph final (compartiments) par Uph final (compartiments)_2020" description="Connexion à la requête « Nombre de Uph final (compartiments) par Uph final (compartiments)_2020 » dans le classeur." type="5" refreshedVersion="0" background="1">
    <dbPr connection="Provider=Microsoft.Mashup.OleDb.1;Data Source=$Workbook$;Location=&quot;Nombre de Uph final (compartiments) par Uph final (compartiments)_2020&quot;;Extended Properties=&quot;&quot;" command="SELECT * FROM [Nombre de Uph final (compartiments) par Uph final (compartiments)_2020]"/>
  </connection>
  <connection id="6" keepAlive="1" name="Requête - Nombre de Uph final (compartiments) par Uph final (compartiments)_2020 (2)" description="Connexion à la requête « Nombre de Uph final (compartiments) par Uph final (compartiments)_2020 (2) » dans le classeur." type="5" refreshedVersion="7" background="1" saveData="1">
    <dbPr connection="Provider=Microsoft.Mashup.OleDb.1;Data Source=$Workbook$;Location=&quot;Nombre de Uph final (compartiments) par Uph final (compartiments)_2020 (2)&quot;;Extended Properties=&quot;&quot;" command="SELECT * FROM [Nombre de Uph final (compartiments) par Uph final (compartiments)_2020 (2)]"/>
  </connection>
</connections>
</file>

<file path=xl/sharedStrings.xml><?xml version="1.0" encoding="utf-8"?>
<sst xmlns="http://schemas.openxmlformats.org/spreadsheetml/2006/main" count="1211" uniqueCount="386">
  <si>
    <t xml:space="preserve">petit collectif non mitoyen </t>
  </si>
  <si>
    <t>&lt;1915</t>
  </si>
  <si>
    <t>toitures combles</t>
  </si>
  <si>
    <t>petit collectif mitoyen</t>
  </si>
  <si>
    <t>logement collectif à pans de bois</t>
  </si>
  <si>
    <t>collectif moyen mitoyen</t>
  </si>
  <si>
    <t>charpente bois</t>
  </si>
  <si>
    <t xml:space="preserve">planchers bois </t>
  </si>
  <si>
    <t>logement collectif à coursives</t>
  </si>
  <si>
    <t>grand collectif moyen (haussmanien)</t>
  </si>
  <si>
    <t>planchers bois ou métal</t>
  </si>
  <si>
    <t>1915-1945</t>
  </si>
  <si>
    <t>Planchers métalliques remplissage en voûtains de briques, planchers bois, dalles en béton armé</t>
  </si>
  <si>
    <t>Charpente en bois, en métal ou structure béton</t>
  </si>
  <si>
    <t>moyen collectif</t>
  </si>
  <si>
    <t xml:space="preserve">grand collectif  </t>
  </si>
  <si>
    <t>Couverture en zinc ou tuiles mécaniques (doubles pentes) ou béton (toitures terrasses)</t>
  </si>
  <si>
    <t>HBM</t>
  </si>
  <si>
    <t>Charpente bois ou béton</t>
  </si>
  <si>
    <t>Planchers en dalle béton ou poutrelles hourdis</t>
  </si>
  <si>
    <t>Toitures terrasses ou combles perdus</t>
  </si>
  <si>
    <t>toiture terrasse ou combles perdus</t>
  </si>
  <si>
    <t>1945-1968</t>
  </si>
  <si>
    <t>petit collectif</t>
  </si>
  <si>
    <t>Toitures double pans en combles perdus ou aménagés - toitures terrasses</t>
  </si>
  <si>
    <t>Béton armé</t>
  </si>
  <si>
    <t>Charpente en bois ou métallique, toitures terrasses en béton armé</t>
  </si>
  <si>
    <t>Toitures terrasses en béton armé</t>
  </si>
  <si>
    <t>Toitures terrasses</t>
  </si>
  <si>
    <t>grand collectif</t>
  </si>
  <si>
    <t>1969-1974</t>
  </si>
  <si>
    <t>Charpente, toitures terrasses en béton armé</t>
  </si>
  <si>
    <t>résidences balnéaires</t>
  </si>
  <si>
    <t>béton armé</t>
  </si>
  <si>
    <t>immeubles stations sport d'hiver</t>
  </si>
  <si>
    <t>1969-1989</t>
  </si>
  <si>
    <t>Charpente bois, structure béton</t>
  </si>
  <si>
    <t>toiture terrasse ou double pente</t>
  </si>
  <si>
    <t>R de 1 à 1,3</t>
  </si>
  <si>
    <t>isolation planchers hauts</t>
  </si>
  <si>
    <t>isolation plancher bas</t>
  </si>
  <si>
    <t>isolation parois verticales</t>
  </si>
  <si>
    <t>0,5 à 2,3</t>
  </si>
  <si>
    <t>1 à 2,3</t>
  </si>
  <si>
    <t>1975-1981</t>
  </si>
  <si>
    <t>dalle pleine béton</t>
  </si>
  <si>
    <t>Dalle pleine béton, plancher des combles sur solives métalliques</t>
  </si>
  <si>
    <t>1 pour tt, 1,7 pour combles</t>
  </si>
  <si>
    <t>0,5 à 1,5</t>
  </si>
  <si>
    <t xml:space="preserve">dalle béton </t>
  </si>
  <si>
    <t>1982-1989</t>
  </si>
  <si>
    <t>toitures terrasses ou combles habités</t>
  </si>
  <si>
    <t>dalle béton</t>
  </si>
  <si>
    <t>1,3 pour tt, 2,9 pour combles</t>
  </si>
  <si>
    <t>1,5 à 2,3</t>
  </si>
  <si>
    <t>toiture terrasse ou combles habitables</t>
  </si>
  <si>
    <t>1990-2000</t>
  </si>
  <si>
    <t>dalle béton ou poutrelles entrevous</t>
  </si>
  <si>
    <t>2 pour tt, 2,9 pour combles</t>
  </si>
  <si>
    <t>2,3 à 2,9</t>
  </si>
  <si>
    <t>2,3 à 2,5</t>
  </si>
  <si>
    <t xml:space="preserve">moyen grand collectif </t>
  </si>
  <si>
    <t>2001-2005</t>
  </si>
  <si>
    <t xml:space="preserve">collectif </t>
  </si>
  <si>
    <t>&gt;2005</t>
  </si>
  <si>
    <t>Avant 2012 : Toiture terrasse R=5 / Combles R=5,7
Après 2012  R=6,7</t>
  </si>
  <si>
    <t>R de 3,4 à 4,6</t>
  </si>
  <si>
    <t>Avant 2012 : R=2,9 / Après 2012 : 5 à 5,7</t>
  </si>
  <si>
    <t>1946-1968</t>
  </si>
  <si>
    <t>maison périurbaine mitoyenne</t>
  </si>
  <si>
    <t>type</t>
  </si>
  <si>
    <t>année constru</t>
  </si>
  <si>
    <t>toiture</t>
  </si>
  <si>
    <t>volume en % du parc français</t>
  </si>
  <si>
    <t>plancher inter</t>
  </si>
  <si>
    <t xml:space="preserve">toiture </t>
  </si>
  <si>
    <t>Uinitial  W/(m².K)</t>
  </si>
  <si>
    <t>H1</t>
  </si>
  <si>
    <t>H2</t>
  </si>
  <si>
    <t>H3</t>
  </si>
  <si>
    <t>combles</t>
  </si>
  <si>
    <t>&lt;74</t>
  </si>
  <si>
    <t>75-77</t>
  </si>
  <si>
    <t>78-82</t>
  </si>
  <si>
    <t>83-88</t>
  </si>
  <si>
    <t>89-00</t>
  </si>
  <si>
    <t>&gt;13</t>
  </si>
  <si>
    <t>06--12</t>
  </si>
  <si>
    <t>01--05</t>
  </si>
  <si>
    <t xml:space="preserve">H1 </t>
  </si>
  <si>
    <t>moyenne pondérée par zone climatique</t>
  </si>
  <si>
    <t>combles perdus</t>
  </si>
  <si>
    <t>plancher haut de combles perdus isolés entre entraits</t>
  </si>
  <si>
    <t>isolation en deux couches entre pannes et entre chevrons</t>
  </si>
  <si>
    <t>Maison avant 75</t>
  </si>
  <si>
    <t>gaz</t>
  </si>
  <si>
    <t>zone H1</t>
  </si>
  <si>
    <t>toiture rampants</t>
  </si>
  <si>
    <t>toiture non isolée</t>
  </si>
  <si>
    <t>Ubat</t>
  </si>
  <si>
    <t>Conso chauffage energie finale (kwhEP/m2)</t>
  </si>
  <si>
    <t>toiture isolée</t>
  </si>
  <si>
    <t>toiture rénovée</t>
  </si>
  <si>
    <t>toiture rénovée (20 cm d'isolant)</t>
  </si>
  <si>
    <t>zone H2</t>
  </si>
  <si>
    <t>Toiture non isolée</t>
  </si>
  <si>
    <t>zone H3</t>
  </si>
  <si>
    <t>Elec</t>
  </si>
  <si>
    <t>Zone H1</t>
  </si>
  <si>
    <t>Zone H3</t>
  </si>
  <si>
    <t>Maison après 75</t>
  </si>
  <si>
    <t>elec</t>
  </si>
  <si>
    <t>shon</t>
  </si>
  <si>
    <t>surface plancher</t>
  </si>
  <si>
    <t>shon rampants</t>
  </si>
  <si>
    <t>combustible</t>
  </si>
  <si>
    <t>kWhcumac par m2 d'isolant</t>
  </si>
  <si>
    <t>unité</t>
  </si>
  <si>
    <t>Période constructive</t>
  </si>
  <si>
    <t>MI5</t>
  </si>
  <si>
    <t>Maison av. 1975</t>
  </si>
  <si>
    <t>Moyenne</t>
  </si>
  <si>
    <t>Maison ap. 1975</t>
  </si>
  <si>
    <t>Rappel de la part des logements av. 1975 isolés sur les planchers</t>
  </si>
  <si>
    <t>MI1-petite maison rurale</t>
  </si>
  <si>
    <t>MI2-grande maison rurale</t>
  </si>
  <si>
    <t xml:space="preserve">MI3-ferme </t>
  </si>
  <si>
    <t>MI4-maison de bourg mitoyenne</t>
  </si>
  <si>
    <t>MI6-grande maison périurbaine</t>
  </si>
  <si>
    <t>MI7-maison mitoyenne</t>
  </si>
  <si>
    <t>MI8-maison périurbaine indépendante</t>
  </si>
  <si>
    <t>MI9-maison périurbaine mitoyenne</t>
  </si>
  <si>
    <t>MI10-maison périurbaine indépendante</t>
  </si>
  <si>
    <t>MI11-maison périurbaine indépendante</t>
  </si>
  <si>
    <t>MI12-maison périurbaine indépendante</t>
  </si>
  <si>
    <t>MI14-pavillon</t>
  </si>
  <si>
    <t>MI15-Pavillon</t>
  </si>
  <si>
    <t>MI16-pavillon</t>
  </si>
  <si>
    <t>MI17-pavillon</t>
  </si>
  <si>
    <t>Répartition en nombre de logement (%)</t>
  </si>
  <si>
    <t>Sans considérer d'isolation progressive</t>
  </si>
  <si>
    <t>En considérant une isolation progressive</t>
  </si>
  <si>
    <t>Part du parc à prendre en compte</t>
  </si>
  <si>
    <t>Seulement av. 1975</t>
  </si>
  <si>
    <t>Seulement av. 1990</t>
  </si>
  <si>
    <t>Seulement av. 2000</t>
  </si>
  <si>
    <t>Seulement av. 2005</t>
  </si>
  <si>
    <t>Situation de référence en fonction de la part de parc considéré et de la prise en considération d'une isolation progressive</t>
  </si>
  <si>
    <t>1- Analyse statistique sur la base de PROFEEL</t>
  </si>
  <si>
    <t>Données</t>
  </si>
  <si>
    <t>2- Analyse de l'étude ADEME</t>
  </si>
  <si>
    <t xml:space="preserve">3- Analyse de l'Observatoire BBC Rénovation </t>
  </si>
  <si>
    <t>répartition par zone climatique (données CEREN)</t>
  </si>
  <si>
    <t>U_init en fonction de la période de construction et de la ZC (DPE) en W/m².K</t>
  </si>
  <si>
    <t>Données issues de l'étude sur la rénovation basse consommation des maisons individuelles</t>
  </si>
  <si>
    <t xml:space="preserve">https://www.effinergie.org/web/images/attach/base_doc/2913/20210429syntheseetude-renovation.pdf </t>
  </si>
  <si>
    <t>Résistance thermique moyenne avant travaux en m².K/W</t>
  </si>
  <si>
    <t>U correspondant en W/m².K</t>
  </si>
  <si>
    <t>F11</t>
  </si>
  <si>
    <t>F11 sans erreur</t>
  </si>
  <si>
    <t>BABAB</t>
  </si>
  <si>
    <t>BADJE</t>
  </si>
  <si>
    <t>BAJCE</t>
  </si>
  <si>
    <t>BBDBA</t>
  </si>
  <si>
    <t>BBGFI</t>
  </si>
  <si>
    <t>BBIAA</t>
  </si>
  <si>
    <t>BBIAC</t>
  </si>
  <si>
    <t>BBJDF</t>
  </si>
  <si>
    <t>BCBGJ</t>
  </si>
  <si>
    <t>BCBHG</t>
  </si>
  <si>
    <t>BCDBC</t>
  </si>
  <si>
    <t>BCECC</t>
  </si>
  <si>
    <t>bcfej</t>
  </si>
  <si>
    <t>BCIHB</t>
  </si>
  <si>
    <t>BDDFI</t>
  </si>
  <si>
    <t>BDEBA</t>
  </si>
  <si>
    <t>BDEEA</t>
  </si>
  <si>
    <t>BECHG</t>
  </si>
  <si>
    <t>BECJD</t>
  </si>
  <si>
    <t>BEFIC</t>
  </si>
  <si>
    <t>BEJCI</t>
  </si>
  <si>
    <t>BFBJI</t>
  </si>
  <si>
    <t>BFCHI</t>
  </si>
  <si>
    <t>BFGGB</t>
  </si>
  <si>
    <t>BFIFG</t>
  </si>
  <si>
    <t>BFIGI</t>
  </si>
  <si>
    <t>BGBIB</t>
  </si>
  <si>
    <t>BGGGA</t>
  </si>
  <si>
    <t>BGHDA</t>
  </si>
  <si>
    <t>BHBDC</t>
  </si>
  <si>
    <t>BHBFC</t>
  </si>
  <si>
    <t>BHHCD</t>
  </si>
  <si>
    <t>BHIBB</t>
  </si>
  <si>
    <t>BHJAG</t>
  </si>
  <si>
    <t>BIDBA</t>
  </si>
  <si>
    <t>BIDFC</t>
  </si>
  <si>
    <t>BIEJB</t>
  </si>
  <si>
    <t>BIFIH</t>
  </si>
  <si>
    <t>BIGDB</t>
  </si>
  <si>
    <t>BIIEI</t>
  </si>
  <si>
    <t>BJBDG</t>
  </si>
  <si>
    <t>BJBJI</t>
  </si>
  <si>
    <t>BJDDB</t>
  </si>
  <si>
    <t>BJECH</t>
  </si>
  <si>
    <t>BJEHE</t>
  </si>
  <si>
    <t>BJJHJ</t>
  </si>
  <si>
    <t>CABDA</t>
  </si>
  <si>
    <t>CACHD</t>
  </si>
  <si>
    <t>caebe</t>
  </si>
  <si>
    <t>CAEJC</t>
  </si>
  <si>
    <t>CAHIJ</t>
  </si>
  <si>
    <t>CBACG</t>
  </si>
  <si>
    <t>CBCCC</t>
  </si>
  <si>
    <t>CBECG</t>
  </si>
  <si>
    <t>CBGGC</t>
  </si>
  <si>
    <t>CBGHG</t>
  </si>
  <si>
    <t>CBJEI</t>
  </si>
  <si>
    <t>CCBHB</t>
  </si>
  <si>
    <t>CCGHI</t>
  </si>
  <si>
    <t>CCHAJ</t>
  </si>
  <si>
    <t>CCJJH</t>
  </si>
  <si>
    <t>CDAAB</t>
  </si>
  <si>
    <t>CDCBJ</t>
  </si>
  <si>
    <t>CDCCJ</t>
  </si>
  <si>
    <t>CDIFH</t>
  </si>
  <si>
    <t>CEADD</t>
  </si>
  <si>
    <t>CEAGA</t>
  </si>
  <si>
    <t>CEAHF</t>
  </si>
  <si>
    <t>CECIC</t>
  </si>
  <si>
    <t>CEEGC</t>
  </si>
  <si>
    <t>CEGJF</t>
  </si>
  <si>
    <t>CEJBD</t>
  </si>
  <si>
    <t>CFAFI</t>
  </si>
  <si>
    <t>CFCHD</t>
  </si>
  <si>
    <t>CFGBB</t>
  </si>
  <si>
    <t>CFIAG</t>
  </si>
  <si>
    <t>CFICG</t>
  </si>
  <si>
    <t>CGBCI</t>
  </si>
  <si>
    <t>CGBEB</t>
  </si>
  <si>
    <t>cgeah</t>
  </si>
  <si>
    <t>CGHBI</t>
  </si>
  <si>
    <t>CHBEA</t>
  </si>
  <si>
    <t>CHEAC</t>
  </si>
  <si>
    <t>CHGHB</t>
  </si>
  <si>
    <t>CHHJB</t>
  </si>
  <si>
    <t>CHJAH</t>
  </si>
  <si>
    <t>CHJIE</t>
  </si>
  <si>
    <t>CIFGB</t>
  </si>
  <si>
    <t>CJAJA</t>
  </si>
  <si>
    <t>CJBBI</t>
  </si>
  <si>
    <t>CJJHH</t>
  </si>
  <si>
    <t>DABHH</t>
  </si>
  <si>
    <t>DADBB</t>
  </si>
  <si>
    <t>DAIDJ</t>
  </si>
  <si>
    <t>DAJAB</t>
  </si>
  <si>
    <t>DAJAJ</t>
  </si>
  <si>
    <t>DBAEI</t>
  </si>
  <si>
    <t>DBAGC</t>
  </si>
  <si>
    <t>DBBBJ</t>
  </si>
  <si>
    <t>DBBIC</t>
  </si>
  <si>
    <t>Dbjfb</t>
  </si>
  <si>
    <t>DCACJ</t>
  </si>
  <si>
    <t>DCAFA</t>
  </si>
  <si>
    <t>DCBEG</t>
  </si>
  <si>
    <t>DCDIC</t>
  </si>
  <si>
    <t>DCFBH</t>
  </si>
  <si>
    <t>DCHDI</t>
  </si>
  <si>
    <t>DCHHD</t>
  </si>
  <si>
    <t>DCIFG</t>
  </si>
  <si>
    <t>DDAFG</t>
  </si>
  <si>
    <t>DDCDD</t>
  </si>
  <si>
    <t>DDDGE</t>
  </si>
  <si>
    <t>DDEFD</t>
  </si>
  <si>
    <t>ddejh</t>
  </si>
  <si>
    <t>DDFHC</t>
  </si>
  <si>
    <t>DEDHJ</t>
  </si>
  <si>
    <t>DEFFB</t>
  </si>
  <si>
    <t>DFBFI</t>
  </si>
  <si>
    <t>DFEJJ</t>
  </si>
  <si>
    <t>DFFHD</t>
  </si>
  <si>
    <t>DFHAG</t>
  </si>
  <si>
    <t>DFJBG</t>
  </si>
  <si>
    <t>DGAFD</t>
  </si>
  <si>
    <t>DGCED</t>
  </si>
  <si>
    <t>DGGGE</t>
  </si>
  <si>
    <t>DGHCG</t>
  </si>
  <si>
    <t>DGHDJ</t>
  </si>
  <si>
    <t>DGHJD</t>
  </si>
  <si>
    <t>DGIFD</t>
  </si>
  <si>
    <t>DHDJB</t>
  </si>
  <si>
    <t>DHEBG</t>
  </si>
  <si>
    <t>DHHIA</t>
  </si>
  <si>
    <t>DHIJI</t>
  </si>
  <si>
    <t>DIBDA</t>
  </si>
  <si>
    <t>DIGDA</t>
  </si>
  <si>
    <t>DIHAC</t>
  </si>
  <si>
    <t>DIHDH</t>
  </si>
  <si>
    <t>DIIFH</t>
  </si>
  <si>
    <t>djbij</t>
  </si>
  <si>
    <t>DJCBH</t>
  </si>
  <si>
    <t>DJDAD</t>
  </si>
  <si>
    <t>EAEGC</t>
  </si>
  <si>
    <t>EAJIC</t>
  </si>
  <si>
    <t>EBACG</t>
  </si>
  <si>
    <t>EBEFJ</t>
  </si>
  <si>
    <t>EBFIB</t>
  </si>
  <si>
    <t>EBIJH</t>
  </si>
  <si>
    <t>ID</t>
  </si>
  <si>
    <t>F10</t>
  </si>
  <si>
    <t>Non</t>
  </si>
  <si>
    <t>Oui</t>
  </si>
  <si>
    <t>A1</t>
  </si>
  <si>
    <t>U moyen en W/m².K - Toutes données</t>
  </si>
  <si>
    <t>U moyen en W/m².K - Calcul Gain réalisable</t>
  </si>
  <si>
    <t>4- Synthèse</t>
  </si>
  <si>
    <t>Méthode d'évaluation</t>
  </si>
  <si>
    <t>Uexistant en  W/(m².K)</t>
  </si>
  <si>
    <t>Uexistant  en considérant 50 % du parc av. 1975 déjà partiellement isolé en W/(m².K)</t>
  </si>
  <si>
    <t>U existant en W/m².K</t>
  </si>
  <si>
    <t>PROFEEL</t>
  </si>
  <si>
    <t>CEE ADEME</t>
  </si>
  <si>
    <t>Observatoire BBC</t>
  </si>
  <si>
    <t>Valeur retenue</t>
  </si>
  <si>
    <t>Valeur théorique</t>
  </si>
  <si>
    <t>Combles perdus</t>
  </si>
  <si>
    <t>Rampants</t>
  </si>
  <si>
    <t>soufflage ou déversement sur plancher plat</t>
  </si>
  <si>
    <t>plancher haut de combles perdus isolé entre entraits et en sous-face (100 mm d'isolation)</t>
  </si>
  <si>
    <t>U_final (W/m².K)</t>
  </si>
  <si>
    <t>Combles</t>
  </si>
  <si>
    <t>m².K/W</t>
  </si>
  <si>
    <t>Méthode de calcul</t>
  </si>
  <si>
    <t>Up final = 1/(1/Up initial +R)</t>
  </si>
  <si>
    <r>
      <t>D</t>
    </r>
    <r>
      <rPr>
        <sz val="11"/>
        <color theme="1"/>
        <rFont val="Times New Roman"/>
        <family val="1"/>
      </rPr>
      <t>Up = Up final – Upinit</t>
    </r>
  </si>
  <si>
    <t>Gains</t>
  </si>
  <si>
    <r>
      <t xml:space="preserve">Gain =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Times New Roman"/>
        <family val="1"/>
      </rPr>
      <t xml:space="preserve">Up x DJUmoyen x 24h x 0,7 / </t>
    </r>
    <r>
      <rPr>
        <sz val="11"/>
        <color theme="1"/>
        <rFont val="Symbol"/>
        <family val="1"/>
        <charset val="2"/>
      </rPr>
      <t>h</t>
    </r>
  </si>
  <si>
    <t>Electrique</t>
  </si>
  <si>
    <t>Combustible</t>
  </si>
  <si>
    <t>Wh/m2</t>
  </si>
  <si>
    <t>kWh/m2</t>
  </si>
  <si>
    <t>Up initial</t>
  </si>
  <si>
    <t>W/m2.K</t>
  </si>
  <si>
    <t>Up final</t>
  </si>
  <si>
    <t>Montant CEE</t>
  </si>
  <si>
    <t>Delta Up</t>
  </si>
  <si>
    <t>DJU moyen</t>
  </si>
  <si>
    <t>K</t>
  </si>
  <si>
    <t>Rendement elec</t>
  </si>
  <si>
    <t>Rendement comb</t>
  </si>
  <si>
    <t>Fusion des énergies de chauffage</t>
  </si>
  <si>
    <t>Durée de vie</t>
  </si>
  <si>
    <t>ans</t>
  </si>
  <si>
    <t>Durée de vie actualisée</t>
  </si>
  <si>
    <t>Up final déterminé selon hyp de l'onglet Ufinal</t>
  </si>
  <si>
    <t>U init (W/m².K)</t>
  </si>
  <si>
    <r>
      <t>Δ</t>
    </r>
    <r>
      <rPr>
        <sz val="7.7"/>
        <color theme="1"/>
        <rFont val="Calibri"/>
        <family val="2"/>
      </rPr>
      <t>U</t>
    </r>
    <r>
      <rPr>
        <sz val="11"/>
        <color theme="1"/>
        <rFont val="Calibri"/>
        <family val="2"/>
      </rPr>
      <t xml:space="preserve"> (W/m².K) </t>
    </r>
    <r>
      <rPr>
        <i/>
        <sz val="11"/>
        <color theme="1"/>
        <rFont val="Calibri"/>
        <family val="2"/>
      </rPr>
      <t>(RT: valeurs et coefficients pour l'application des règles Th-Bat)</t>
    </r>
  </si>
  <si>
    <r>
      <t>isolation en une couche entre pannes</t>
    </r>
    <r>
      <rPr>
        <sz val="11"/>
        <color rgb="FFFF0000"/>
        <rFont val="Calibri"/>
        <family val="2"/>
        <scheme val="minor"/>
      </rPr>
      <t xml:space="preserve"> </t>
    </r>
  </si>
  <si>
    <t>Résistance thermique installée</t>
  </si>
  <si>
    <t>5- Observatoire DPE</t>
  </si>
  <si>
    <t>Données issues de l'observatoire DPE - années 2019 - 2020</t>
  </si>
  <si>
    <t>Sélection uniquement des maisons inidviduelles pour garder majoritairement planchers hauts &amp; rampants</t>
  </si>
  <si>
    <t>Valeur analysée : min(Uph ; Uph0)</t>
  </si>
  <si>
    <t>0. Av. 1948</t>
  </si>
  <si>
    <t>1. 1948 - 1974</t>
  </si>
  <si>
    <t>2. 1975 - 1989</t>
  </si>
  <si>
    <t>3. 1990 - 1999</t>
  </si>
  <si>
    <t>4. Autre</t>
  </si>
  <si>
    <t>Moyenne de Uph</t>
  </si>
  <si>
    <t>Nombre de valeur</t>
  </si>
  <si>
    <t>1</t>
  </si>
  <si>
    <t>2</t>
  </si>
  <si>
    <t>Nombre</t>
  </si>
  <si>
    <t>Valeur</t>
  </si>
  <si>
    <t>Méthode</t>
  </si>
  <si>
    <t>Moyenne av. 2000</t>
  </si>
  <si>
    <t>Moyenne av. 1975</t>
  </si>
  <si>
    <t>Moyenne si non ou faiblement isolé toute période (&gt; 0,5W/m².K)</t>
  </si>
  <si>
    <t>2019</t>
  </si>
  <si>
    <t>2020</t>
  </si>
  <si>
    <t>Uph</t>
  </si>
  <si>
    <t>Observatoire DPE</t>
  </si>
  <si>
    <t>Nombre de Uph final (compartiments)</t>
  </si>
  <si>
    <t>Uph final (compartiments)</t>
  </si>
  <si>
    <t>Nombre de Uph_final (compartiments)</t>
  </si>
  <si>
    <t>Uph_final (compartiments)</t>
  </si>
  <si>
    <t>Colonne1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</si>
</sst>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"/>
    <numFmt numFmtId="165" formatCode="0.0"/>
    <numFmt numFmtId="166" formatCode="_-* #,##0.00\ _€_-;\-* #,##0.00\ _€_-;_-* &quot;-&quot;??\ _€_-;_-@_-"/>
    <numFmt numFmtId="167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i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4" fillId="0" borderId="0" xfId="0" applyFont="1" applyAlignment="1">
      <alignment wrapText="1"/>
    </xf>
    <xf numFmtId="9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0" fillId="0" borderId="0" xfId="0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16" fontId="0" fillId="5" borderId="1" xfId="0" applyNumberFormat="1" applyFill="1" applyBorder="1"/>
    <xf numFmtId="0" fontId="5" fillId="0" borderId="0" xfId="0" applyFont="1" applyFill="1" applyAlignment="1">
      <alignment horizontal="center" vertical="center" wrapText="1"/>
    </xf>
    <xf numFmtId="43" fontId="0" fillId="0" borderId="0" xfId="1" applyFont="1" applyAlignment="1">
      <alignment wrapText="1"/>
    </xf>
    <xf numFmtId="0" fontId="0" fillId="0" borderId="0" xfId="0" applyBorder="1" applyAlignment="1">
      <alignment wrapText="1"/>
    </xf>
    <xf numFmtId="165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2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2" xfId="0" applyBorder="1"/>
    <xf numFmtId="0" fontId="0" fillId="0" borderId="2" xfId="0" applyFill="1" applyBorder="1"/>
    <xf numFmtId="0" fontId="0" fillId="0" borderId="0" xfId="0" applyFill="1" applyBorder="1"/>
    <xf numFmtId="2" fontId="0" fillId="0" borderId="0" xfId="0" applyNumberFormat="1" applyBorder="1"/>
    <xf numFmtId="165" fontId="0" fillId="0" borderId="0" xfId="0" applyNumberFormat="1" applyBorder="1"/>
    <xf numFmtId="0" fontId="9" fillId="0" borderId="1" xfId="0" applyFont="1" applyBorder="1"/>
    <xf numFmtId="1" fontId="9" fillId="0" borderId="1" xfId="0" applyNumberFormat="1" applyFont="1" applyBorder="1"/>
    <xf numFmtId="0" fontId="0" fillId="0" borderId="1" xfId="0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Border="1"/>
    <xf numFmtId="1" fontId="9" fillId="0" borderId="0" xfId="0" applyNumberFormat="1" applyFont="1" applyBorder="1"/>
    <xf numFmtId="0" fontId="0" fillId="0" borderId="0" xfId="0" applyBorder="1" applyAlignment="1">
      <alignment horizontal="center" wrapText="1"/>
    </xf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43" fontId="0" fillId="0" borderId="0" xfId="1" applyFont="1" applyFill="1"/>
    <xf numFmtId="165" fontId="0" fillId="0" borderId="0" xfId="0" applyNumberFormat="1" applyFill="1"/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wrapText="1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wrapText="1"/>
    </xf>
    <xf numFmtId="43" fontId="0" fillId="9" borderId="1" xfId="1" applyFont="1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5" fillId="10" borderId="1" xfId="0" applyFont="1" applyFill="1" applyBorder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2" fontId="0" fillId="5" borderId="1" xfId="0" applyNumberFormat="1" applyFill="1" applyBorder="1"/>
    <xf numFmtId="0" fontId="0" fillId="11" borderId="5" xfId="0" applyFill="1" applyBorder="1"/>
    <xf numFmtId="2" fontId="0" fillId="11" borderId="5" xfId="0" applyNumberFormat="1" applyFill="1" applyBorder="1"/>
    <xf numFmtId="0" fontId="13" fillId="0" borderId="0" xfId="3"/>
    <xf numFmtId="43" fontId="0" fillId="0" borderId="1" xfId="1" applyNumberFormat="1" applyFont="1" applyBorder="1"/>
    <xf numFmtId="166" fontId="0" fillId="0" borderId="1" xfId="0" applyNumberFormat="1" applyBorder="1"/>
    <xf numFmtId="2" fontId="0" fillId="0" borderId="1" xfId="0" applyNumberFormat="1" applyBorder="1" applyAlignment="1">
      <alignment vertical="center" wrapText="1"/>
    </xf>
    <xf numFmtId="2" fontId="0" fillId="0" borderId="1" xfId="1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43" fontId="0" fillId="0" borderId="1" xfId="1" applyNumberFormat="1" applyFont="1" applyBorder="1" applyAlignment="1">
      <alignment wrapText="1"/>
    </xf>
    <xf numFmtId="43" fontId="0" fillId="4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vertical="center"/>
    </xf>
    <xf numFmtId="43" fontId="0" fillId="0" borderId="0" xfId="1" applyFont="1" applyFill="1" applyBorder="1"/>
    <xf numFmtId="43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8" xfId="0" applyBorder="1"/>
    <xf numFmtId="0" fontId="16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17" fillId="0" borderId="0" xfId="0" applyFont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16" fillId="0" borderId="7" xfId="0" applyFont="1" applyBorder="1" applyAlignment="1">
      <alignment horizontal="center" vertical="center"/>
    </xf>
    <xf numFmtId="0" fontId="0" fillId="0" borderId="14" xfId="0" applyBorder="1"/>
    <xf numFmtId="0" fontId="0" fillId="0" borderId="9" xfId="0" applyBorder="1"/>
    <xf numFmtId="0" fontId="16" fillId="0" borderId="0" xfId="0" applyFont="1" applyAlignment="1">
      <alignment horizontal="center" vertical="center"/>
    </xf>
    <xf numFmtId="165" fontId="0" fillId="0" borderId="11" xfId="0" applyNumberFormat="1" applyBorder="1"/>
    <xf numFmtId="165" fontId="0" fillId="0" borderId="13" xfId="0" applyNumberFormat="1" applyBorder="1"/>
    <xf numFmtId="165" fontId="0" fillId="0" borderId="7" xfId="0" applyNumberFormat="1" applyBorder="1"/>
    <xf numFmtId="164" fontId="0" fillId="0" borderId="0" xfId="0" applyNumberFormat="1"/>
    <xf numFmtId="165" fontId="0" fillId="0" borderId="9" xfId="0" applyNumberFormat="1" applyBorder="1"/>
    <xf numFmtId="165" fontId="0" fillId="0" borderId="10" xfId="0" applyNumberFormat="1" applyBorder="1"/>
    <xf numFmtId="0" fontId="10" fillId="0" borderId="0" xfId="0" applyFont="1"/>
    <xf numFmtId="165" fontId="0" fillId="0" borderId="12" xfId="0" applyNumberFormat="1" applyBorder="1"/>
    <xf numFmtId="165" fontId="0" fillId="0" borderId="14" xfId="0" applyNumberFormat="1" applyBorder="1"/>
    <xf numFmtId="9" fontId="0" fillId="0" borderId="0" xfId="0" applyNumberFormat="1"/>
    <xf numFmtId="9" fontId="0" fillId="0" borderId="0" xfId="2" applyFont="1"/>
    <xf numFmtId="0" fontId="0" fillId="0" borderId="7" xfId="0" applyBorder="1"/>
    <xf numFmtId="43" fontId="0" fillId="0" borderId="9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0" xfId="0" applyNumberFormat="1"/>
    <xf numFmtId="1" fontId="0" fillId="0" borderId="12" xfId="0" applyNumberFormat="1" applyBorder="1"/>
    <xf numFmtId="1" fontId="0" fillId="0" borderId="7" xfId="0" applyNumberFormat="1" applyBorder="1"/>
    <xf numFmtId="1" fontId="0" fillId="0" borderId="14" xfId="0" applyNumberFormat="1" applyBorder="1"/>
    <xf numFmtId="0" fontId="0" fillId="0" borderId="0" xfId="0" applyAlignment="1">
      <alignment horizontal="center" vertical="center" wrapText="1"/>
    </xf>
    <xf numFmtId="0" fontId="2" fillId="0" borderId="1" xfId="0" applyFont="1" applyBorder="1"/>
    <xf numFmtId="1" fontId="0" fillId="0" borderId="1" xfId="0" applyNumberFormat="1" applyBorder="1"/>
    <xf numFmtId="0" fontId="14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3" fontId="0" fillId="0" borderId="0" xfId="1" applyNumberFormat="1" applyFont="1"/>
    <xf numFmtId="43" fontId="0" fillId="0" borderId="1" xfId="1" applyFont="1" applyBorder="1"/>
    <xf numFmtId="0" fontId="0" fillId="0" borderId="15" xfId="0" applyNumberFormat="1" applyFont="1" applyFill="1" applyBorder="1"/>
    <xf numFmtId="0" fontId="0" fillId="0" borderId="16" xfId="0" applyFont="1" applyFill="1" applyBorder="1"/>
    <xf numFmtId="167" fontId="0" fillId="0" borderId="16" xfId="1" applyNumberFormat="1" applyFont="1" applyFill="1" applyBorder="1"/>
    <xf numFmtId="0" fontId="0" fillId="0" borderId="17" xfId="0" applyNumberFormat="1" applyFont="1" applyFill="1" applyBorder="1" applyAlignment="1">
      <alignment horizontal="center"/>
    </xf>
    <xf numFmtId="0" fontId="0" fillId="0" borderId="16" xfId="0" applyNumberFormat="1" applyFont="1" applyFill="1" applyBorder="1"/>
    <xf numFmtId="0" fontId="0" fillId="0" borderId="18" xfId="0" applyNumberFormat="1" applyFont="1" applyFill="1" applyBorder="1" applyAlignment="1">
      <alignment horizontal="center"/>
    </xf>
    <xf numFmtId="0" fontId="0" fillId="0" borderId="19" xfId="0" applyNumberFormat="1" applyFont="1" applyFill="1" applyBorder="1"/>
    <xf numFmtId="0" fontId="0" fillId="0" borderId="0" xfId="0" applyNumberFormat="1"/>
    <xf numFmtId="43" fontId="2" fillId="4" borderId="1" xfId="1" applyFont="1" applyFill="1" applyBorder="1" applyAlignment="1">
      <alignment wrapText="1"/>
    </xf>
    <xf numFmtId="43" fontId="0" fillId="0" borderId="0" xfId="0" applyNumberFormat="1"/>
    <xf numFmtId="0" fontId="6" fillId="2" borderId="0" xfId="0" applyFont="1" applyFill="1" applyAlignment="1">
      <alignment horizontal="center" vertical="center" wrapText="1"/>
    </xf>
    <xf numFmtId="0" fontId="0" fillId="10" borderId="1" xfId="0" applyFill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</cellXfs>
  <cellStyles count="4">
    <cellStyle name="Lien hypertexte" xfId="3" builtinId="8"/>
    <cellStyle name="Milliers" xfId="1" builtinId="3"/>
    <cellStyle name="Normal" xfId="0" builtinId="0"/>
    <cellStyle name="Pourcentage" xfId="2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bgColor auto="1"/>
        </patternFill>
      </fill>
      <border diagonalUp="0" diagonalDown="0" outline="0">
        <left/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9" tint="0.39997558519241921"/>
        </top>
        <bottom style="thin">
          <color theme="9" tint="0.39997558519241921"/>
        </bottom>
      </border>
    </dxf>
    <dxf>
      <border outline="0">
        <bottom style="thin">
          <color theme="9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-* #,##0_-;\-* #,##0_-;_-* &quot;-&quot;??_-;_-@_-"/>
      <fill>
        <patternFill patternType="none">
          <bgColor auto="1"/>
        </patternFill>
      </fill>
      <border diagonalUp="0" diagonalDown="0" outline="0">
        <left/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bgColor auto="1"/>
        </patternFill>
      </fill>
      <border diagonalUp="0" diagonalDown="0" outline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 outline="0">
        <left/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bgColor auto="1"/>
        </patternFill>
      </fill>
      <border diagonalUp="0" diagonalDown="0" outline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</border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Extraction</a:t>
            </a:r>
            <a:r>
              <a:rPr lang="fr-FR" baseline="0"/>
              <a:t> des </a:t>
            </a:r>
            <a:r>
              <a:rPr lang="fr-FR"/>
              <a:t>U_init - All datas</a:t>
            </a:r>
            <a:r>
              <a:rPr lang="fr-FR" baseline="0"/>
              <a:t> - Etude ADEME - BAR EN 101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ndar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Extract_Uinit_ADEME!$A$2:$A$148</c:f>
              <c:strCache>
                <c:ptCount val="82"/>
                <c:pt idx="0">
                  <c:v>CABDA</c:v>
                </c:pt>
                <c:pt idx="1">
                  <c:v>caebe</c:v>
                </c:pt>
                <c:pt idx="2">
                  <c:v>DCHDI</c:v>
                </c:pt>
                <c:pt idx="3">
                  <c:v>BCBHG</c:v>
                </c:pt>
                <c:pt idx="4">
                  <c:v>BDEEA</c:v>
                </c:pt>
                <c:pt idx="5">
                  <c:v>DJDAD</c:v>
                </c:pt>
                <c:pt idx="6">
                  <c:v>DDCDD</c:v>
                </c:pt>
                <c:pt idx="7">
                  <c:v>DADBB</c:v>
                </c:pt>
                <c:pt idx="8">
                  <c:v>DBAGC</c:v>
                </c:pt>
                <c:pt idx="9">
                  <c:v>ddejh</c:v>
                </c:pt>
                <c:pt idx="10">
                  <c:v>BECHG</c:v>
                </c:pt>
                <c:pt idx="11">
                  <c:v>DBBIC</c:v>
                </c:pt>
                <c:pt idx="12">
                  <c:v>BCBGJ</c:v>
                </c:pt>
                <c:pt idx="13">
                  <c:v>DBBBJ</c:v>
                </c:pt>
                <c:pt idx="14">
                  <c:v>DCAFA</c:v>
                </c:pt>
                <c:pt idx="15">
                  <c:v>BGHDA</c:v>
                </c:pt>
                <c:pt idx="16">
                  <c:v>DHDJB</c:v>
                </c:pt>
                <c:pt idx="17">
                  <c:v>DIHDH</c:v>
                </c:pt>
                <c:pt idx="18">
                  <c:v>CDIFH</c:v>
                </c:pt>
                <c:pt idx="19">
                  <c:v>CIFGB</c:v>
                </c:pt>
                <c:pt idx="20">
                  <c:v>DCIFG</c:v>
                </c:pt>
                <c:pt idx="21">
                  <c:v>DIBDA</c:v>
                </c:pt>
                <c:pt idx="22">
                  <c:v>DIIFH</c:v>
                </c:pt>
                <c:pt idx="23">
                  <c:v>CBECG</c:v>
                </c:pt>
                <c:pt idx="24">
                  <c:v>DCDIC</c:v>
                </c:pt>
                <c:pt idx="25">
                  <c:v>DGCED</c:v>
                </c:pt>
                <c:pt idx="26">
                  <c:v>CGBEB</c:v>
                </c:pt>
                <c:pt idx="27">
                  <c:v>CFIAG</c:v>
                </c:pt>
                <c:pt idx="28">
                  <c:v>DDFHC</c:v>
                </c:pt>
                <c:pt idx="29">
                  <c:v>DHIJI</c:v>
                </c:pt>
                <c:pt idx="30">
                  <c:v>CCGHI</c:v>
                </c:pt>
                <c:pt idx="31">
                  <c:v>DGIFD</c:v>
                </c:pt>
                <c:pt idx="32">
                  <c:v>DFFHD</c:v>
                </c:pt>
                <c:pt idx="33">
                  <c:v>BBJDF</c:v>
                </c:pt>
                <c:pt idx="34">
                  <c:v>BIDFC</c:v>
                </c:pt>
                <c:pt idx="35">
                  <c:v>DHEBG</c:v>
                </c:pt>
                <c:pt idx="36">
                  <c:v>EBFIB</c:v>
                </c:pt>
                <c:pt idx="37">
                  <c:v>CDAAB</c:v>
                </c:pt>
                <c:pt idx="38">
                  <c:v>BHBDC</c:v>
                </c:pt>
                <c:pt idx="39">
                  <c:v>cgeah</c:v>
                </c:pt>
                <c:pt idx="40">
                  <c:v>DGHDJ</c:v>
                </c:pt>
                <c:pt idx="41">
                  <c:v>CHBEA</c:v>
                </c:pt>
                <c:pt idx="42">
                  <c:v>BADJE</c:v>
                </c:pt>
                <c:pt idx="43">
                  <c:v>BBIAA</c:v>
                </c:pt>
                <c:pt idx="44">
                  <c:v>bcfej</c:v>
                </c:pt>
                <c:pt idx="45">
                  <c:v>BCIHB</c:v>
                </c:pt>
                <c:pt idx="46">
                  <c:v>BEFIC</c:v>
                </c:pt>
                <c:pt idx="47">
                  <c:v>BFBJI</c:v>
                </c:pt>
                <c:pt idx="48">
                  <c:v>BHBFC</c:v>
                </c:pt>
                <c:pt idx="49">
                  <c:v>BIEJB</c:v>
                </c:pt>
                <c:pt idx="50">
                  <c:v>BJBDG</c:v>
                </c:pt>
                <c:pt idx="51">
                  <c:v>BJDDB</c:v>
                </c:pt>
                <c:pt idx="52">
                  <c:v>BJJHJ</c:v>
                </c:pt>
                <c:pt idx="53">
                  <c:v>CAEJC</c:v>
                </c:pt>
                <c:pt idx="54">
                  <c:v>CAHIJ</c:v>
                </c:pt>
                <c:pt idx="55">
                  <c:v>CBACG</c:v>
                </c:pt>
                <c:pt idx="56">
                  <c:v>CBCCC</c:v>
                </c:pt>
                <c:pt idx="57">
                  <c:v>CBGHG</c:v>
                </c:pt>
                <c:pt idx="58">
                  <c:v>CEAGA</c:v>
                </c:pt>
                <c:pt idx="59">
                  <c:v>CFCHD</c:v>
                </c:pt>
                <c:pt idx="60">
                  <c:v>CHHJB</c:v>
                </c:pt>
                <c:pt idx="61">
                  <c:v>CJBBI</c:v>
                </c:pt>
                <c:pt idx="62">
                  <c:v>CJJHH</c:v>
                </c:pt>
                <c:pt idx="63">
                  <c:v>DABHH</c:v>
                </c:pt>
                <c:pt idx="64">
                  <c:v>DAJAB</c:v>
                </c:pt>
                <c:pt idx="65">
                  <c:v>DBAEI</c:v>
                </c:pt>
                <c:pt idx="66">
                  <c:v>DCHHD</c:v>
                </c:pt>
                <c:pt idx="67">
                  <c:v>DDEFD</c:v>
                </c:pt>
                <c:pt idx="68">
                  <c:v>DFBFI</c:v>
                </c:pt>
                <c:pt idx="69">
                  <c:v>DFHAG</c:v>
                </c:pt>
                <c:pt idx="70">
                  <c:v>djbij</c:v>
                </c:pt>
                <c:pt idx="71">
                  <c:v>DJCBH</c:v>
                </c:pt>
                <c:pt idx="72">
                  <c:v>BIIEI</c:v>
                </c:pt>
                <c:pt idx="73">
                  <c:v>CCBHB</c:v>
                </c:pt>
                <c:pt idx="74">
                  <c:v>BAJCE</c:v>
                </c:pt>
                <c:pt idx="75">
                  <c:v>CDCCJ</c:v>
                </c:pt>
                <c:pt idx="76">
                  <c:v>DGHCG</c:v>
                </c:pt>
                <c:pt idx="77">
                  <c:v>CEGJF</c:v>
                </c:pt>
                <c:pt idx="78">
                  <c:v>BHJAG</c:v>
                </c:pt>
                <c:pt idx="79">
                  <c:v>EBACG</c:v>
                </c:pt>
                <c:pt idx="80">
                  <c:v>CBJEI</c:v>
                </c:pt>
                <c:pt idx="81">
                  <c:v>DFJBG</c:v>
                </c:pt>
              </c:strCache>
            </c:strRef>
          </c:cat>
          <c:val>
            <c:numRef>
              <c:f>Extract_Uinit_ADEME!$C$2:$C$148</c:f>
              <c:numCache>
                <c:formatCode>General</c:formatCode>
                <c:ptCount val="82"/>
                <c:pt idx="0">
                  <c:v>0.15720755548200815</c:v>
                </c:pt>
                <c:pt idx="1">
                  <c:v>0.16920928233777396</c:v>
                </c:pt>
                <c:pt idx="2">
                  <c:v>0.17582049564634963</c:v>
                </c:pt>
                <c:pt idx="3">
                  <c:v>0.1785107106426386</c:v>
                </c:pt>
                <c:pt idx="4">
                  <c:v>0.17861193014288956</c:v>
                </c:pt>
                <c:pt idx="5">
                  <c:v>0.19126308365599734</c:v>
                </c:pt>
                <c:pt idx="6">
                  <c:v>0.20805495292724935</c:v>
                </c:pt>
                <c:pt idx="7">
                  <c:v>0.20838846255623181</c:v>
                </c:pt>
                <c:pt idx="8">
                  <c:v>0.20838846255623181</c:v>
                </c:pt>
                <c:pt idx="9">
                  <c:v>0.20838846255623181</c:v>
                </c:pt>
                <c:pt idx="10">
                  <c:v>0.21347248576850097</c:v>
                </c:pt>
                <c:pt idx="11">
                  <c:v>0.23841961852861038</c:v>
                </c:pt>
                <c:pt idx="12">
                  <c:v>0.25324205487838813</c:v>
                </c:pt>
                <c:pt idx="13">
                  <c:v>0.25423728813559321</c:v>
                </c:pt>
                <c:pt idx="14">
                  <c:v>0.2557648587203637</c:v>
                </c:pt>
                <c:pt idx="15">
                  <c:v>0.27117768595041319</c:v>
                </c:pt>
                <c:pt idx="16">
                  <c:v>0.27117768595041319</c:v>
                </c:pt>
                <c:pt idx="17">
                  <c:v>0.27117768595041319</c:v>
                </c:pt>
                <c:pt idx="18">
                  <c:v>0.27186225645672857</c:v>
                </c:pt>
                <c:pt idx="19">
                  <c:v>0.28251627831889359</c:v>
                </c:pt>
                <c:pt idx="20">
                  <c:v>0.28267599946156952</c:v>
                </c:pt>
                <c:pt idx="21">
                  <c:v>0.28267599946156952</c:v>
                </c:pt>
                <c:pt idx="22">
                  <c:v>0.28267599946156952</c:v>
                </c:pt>
                <c:pt idx="23">
                  <c:v>0.38812222769837351</c:v>
                </c:pt>
                <c:pt idx="24">
                  <c:v>0.38812222769837351</c:v>
                </c:pt>
                <c:pt idx="25">
                  <c:v>0.389526076606795</c:v>
                </c:pt>
                <c:pt idx="26">
                  <c:v>0.3934241955880286</c:v>
                </c:pt>
                <c:pt idx="27">
                  <c:v>0.40022639068564037</c:v>
                </c:pt>
                <c:pt idx="28">
                  <c:v>0.48833423765599565</c:v>
                </c:pt>
                <c:pt idx="29">
                  <c:v>0.48833423765599565</c:v>
                </c:pt>
                <c:pt idx="30">
                  <c:v>0.49559471365638763</c:v>
                </c:pt>
                <c:pt idx="31">
                  <c:v>0.52360372340425521</c:v>
                </c:pt>
                <c:pt idx="32">
                  <c:v>0.5348047538200339</c:v>
                </c:pt>
                <c:pt idx="33">
                  <c:v>0.59255079006772016</c:v>
                </c:pt>
                <c:pt idx="34">
                  <c:v>0.59255079006772016</c:v>
                </c:pt>
                <c:pt idx="35">
                  <c:v>0.59255079006772016</c:v>
                </c:pt>
                <c:pt idx="36">
                  <c:v>0.68240901213171579</c:v>
                </c:pt>
                <c:pt idx="37">
                  <c:v>0.76605058365758749</c:v>
                </c:pt>
                <c:pt idx="38">
                  <c:v>0.80645161290322565</c:v>
                </c:pt>
                <c:pt idx="39">
                  <c:v>1</c:v>
                </c:pt>
                <c:pt idx="40">
                  <c:v>1</c:v>
                </c:pt>
                <c:pt idx="41">
                  <c:v>1.1209043878137572</c:v>
                </c:pt>
                <c:pt idx="42">
                  <c:v>2.8225806451612905</c:v>
                </c:pt>
                <c:pt idx="43">
                  <c:v>2.8225806451612905</c:v>
                </c:pt>
                <c:pt idx="44">
                  <c:v>2.8225806451612905</c:v>
                </c:pt>
                <c:pt idx="45">
                  <c:v>2.8225806451612905</c:v>
                </c:pt>
                <c:pt idx="46">
                  <c:v>2.8225806451612905</c:v>
                </c:pt>
                <c:pt idx="47">
                  <c:v>2.8225806451612905</c:v>
                </c:pt>
                <c:pt idx="48">
                  <c:v>2.8225806451612905</c:v>
                </c:pt>
                <c:pt idx="49">
                  <c:v>2.8225806451612905</c:v>
                </c:pt>
                <c:pt idx="50">
                  <c:v>2.8225806451612905</c:v>
                </c:pt>
                <c:pt idx="51">
                  <c:v>2.8225806451612905</c:v>
                </c:pt>
                <c:pt idx="52">
                  <c:v>2.8225806451612905</c:v>
                </c:pt>
                <c:pt idx="53">
                  <c:v>2.8225806451612905</c:v>
                </c:pt>
                <c:pt idx="54">
                  <c:v>2.8225806451612905</c:v>
                </c:pt>
                <c:pt idx="55">
                  <c:v>2.8225806451612905</c:v>
                </c:pt>
                <c:pt idx="56">
                  <c:v>2.8225806451612905</c:v>
                </c:pt>
                <c:pt idx="57">
                  <c:v>2.8225806451612905</c:v>
                </c:pt>
                <c:pt idx="58">
                  <c:v>2.8225806451612905</c:v>
                </c:pt>
                <c:pt idx="59">
                  <c:v>2.8225806451612905</c:v>
                </c:pt>
                <c:pt idx="60">
                  <c:v>2.8225806451612905</c:v>
                </c:pt>
                <c:pt idx="61">
                  <c:v>2.8225806451612905</c:v>
                </c:pt>
                <c:pt idx="62">
                  <c:v>2.8225806451612905</c:v>
                </c:pt>
                <c:pt idx="63">
                  <c:v>2.8225806451612905</c:v>
                </c:pt>
                <c:pt idx="64">
                  <c:v>2.8225806451612905</c:v>
                </c:pt>
                <c:pt idx="65">
                  <c:v>2.8225806451612905</c:v>
                </c:pt>
                <c:pt idx="66">
                  <c:v>2.8225806451612905</c:v>
                </c:pt>
                <c:pt idx="67">
                  <c:v>2.8225806451612905</c:v>
                </c:pt>
                <c:pt idx="68">
                  <c:v>2.8225806451612905</c:v>
                </c:pt>
                <c:pt idx="69">
                  <c:v>2.8225806451612905</c:v>
                </c:pt>
                <c:pt idx="70">
                  <c:v>2.8225806451612905</c:v>
                </c:pt>
                <c:pt idx="71">
                  <c:v>2.8225806451612905</c:v>
                </c:pt>
                <c:pt idx="72">
                  <c:v>3.1818181818181812</c:v>
                </c:pt>
                <c:pt idx="73">
                  <c:v>3.1818181818181812</c:v>
                </c:pt>
                <c:pt idx="74">
                  <c:v>3.4920634920634921</c:v>
                </c:pt>
                <c:pt idx="75">
                  <c:v>3.5031847133757963</c:v>
                </c:pt>
                <c:pt idx="76">
                  <c:v>3.5294117647058818</c:v>
                </c:pt>
                <c:pt idx="77">
                  <c:v>3.6184210526315788</c:v>
                </c:pt>
                <c:pt idx="78">
                  <c:v>3.723404255319148</c:v>
                </c:pt>
                <c:pt idx="79">
                  <c:v>4.166666666666667</c:v>
                </c:pt>
                <c:pt idx="80">
                  <c:v>4.5602605863192176</c:v>
                </c:pt>
                <c:pt idx="81">
                  <c:v>7.1428571428571423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6-4D8A-883D-44A78CB43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288016"/>
        <c:axId val="1578292176"/>
      </c:areaChart>
      <c:catAx>
        <c:axId val="1578288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78292176"/>
        <c:crosses val="autoZero"/>
        <c:auto val="1"/>
        <c:lblAlgn val="ctr"/>
        <c:lblOffset val="100"/>
        <c:noMultiLvlLbl val="0"/>
      </c:catAx>
      <c:valAx>
        <c:axId val="15782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8288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U_init</a:t>
            </a:r>
            <a:r>
              <a:rPr lang="fr-FR" baseline="0"/>
              <a:t> - Calcul Gain OK - Etude ADEME</a:t>
            </a:r>
            <a:endParaRPr lang="fr-FR"/>
          </a:p>
        </c:rich>
      </c:tx>
      <c:layout>
        <c:manualLayout>
          <c:xMode val="edge"/>
          <c:yMode val="edge"/>
          <c:x val="0.14233469387755102"/>
          <c:y val="4.4444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ndard"/>
        <c:varyColors val="0"/>
        <c:ser>
          <c:idx val="1"/>
          <c:order val="0"/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Extract_Uinit_ADEME!$H$6:$H$147</c:f>
              <c:numCache>
                <c:formatCode>General</c:formatCode>
                <c:ptCount val="82"/>
                <c:pt idx="0">
                  <c:v>0.10529482551143202</c:v>
                </c:pt>
                <c:pt idx="1">
                  <c:v>0.13666062178413696</c:v>
                </c:pt>
                <c:pt idx="2">
                  <c:v>0.15720755548200815</c:v>
                </c:pt>
                <c:pt idx="3">
                  <c:v>0.16920928233777396</c:v>
                </c:pt>
                <c:pt idx="4">
                  <c:v>0.17582049564634963</c:v>
                </c:pt>
                <c:pt idx="5">
                  <c:v>0.17987159935061742</c:v>
                </c:pt>
                <c:pt idx="6">
                  <c:v>0.18063281032893258</c:v>
                </c:pt>
                <c:pt idx="7">
                  <c:v>0.20301624129930396</c:v>
                </c:pt>
                <c:pt idx="8">
                  <c:v>0.20805495292724935</c:v>
                </c:pt>
                <c:pt idx="9">
                  <c:v>0.20838846255623181</c:v>
                </c:pt>
                <c:pt idx="10">
                  <c:v>0.20838846255623181</c:v>
                </c:pt>
                <c:pt idx="11">
                  <c:v>0.20838846255623181</c:v>
                </c:pt>
                <c:pt idx="12">
                  <c:v>0.21014009339559706</c:v>
                </c:pt>
                <c:pt idx="13">
                  <c:v>0.21282345787446796</c:v>
                </c:pt>
                <c:pt idx="14">
                  <c:v>0.22598963593317989</c:v>
                </c:pt>
                <c:pt idx="15">
                  <c:v>0.23841961852861038</c:v>
                </c:pt>
                <c:pt idx="16">
                  <c:v>0.25423728813559321</c:v>
                </c:pt>
                <c:pt idx="17">
                  <c:v>0.2557648587203637</c:v>
                </c:pt>
                <c:pt idx="18">
                  <c:v>0.25840853158326493</c:v>
                </c:pt>
                <c:pt idx="19">
                  <c:v>0.27117768595041319</c:v>
                </c:pt>
                <c:pt idx="20">
                  <c:v>0.27117768595041319</c:v>
                </c:pt>
                <c:pt idx="21">
                  <c:v>0.28251627831889359</c:v>
                </c:pt>
                <c:pt idx="22">
                  <c:v>0.28251627831889359</c:v>
                </c:pt>
                <c:pt idx="23">
                  <c:v>0.28267599946156952</c:v>
                </c:pt>
                <c:pt idx="24">
                  <c:v>0.28267599946156952</c:v>
                </c:pt>
                <c:pt idx="25">
                  <c:v>0.28267599946156952</c:v>
                </c:pt>
                <c:pt idx="26">
                  <c:v>0.29616397141782624</c:v>
                </c:pt>
                <c:pt idx="27">
                  <c:v>0.33546325878594241</c:v>
                </c:pt>
                <c:pt idx="28">
                  <c:v>0.34807399058542732</c:v>
                </c:pt>
                <c:pt idx="29">
                  <c:v>0.37878787878787878</c:v>
                </c:pt>
                <c:pt idx="30">
                  <c:v>0.38812222769837351</c:v>
                </c:pt>
                <c:pt idx="31">
                  <c:v>0.38812222769837351</c:v>
                </c:pt>
                <c:pt idx="32">
                  <c:v>0.38812222769837351</c:v>
                </c:pt>
                <c:pt idx="33">
                  <c:v>0.389526076606795</c:v>
                </c:pt>
                <c:pt idx="34">
                  <c:v>0.40022639068564037</c:v>
                </c:pt>
                <c:pt idx="35">
                  <c:v>0.46902918403811789</c:v>
                </c:pt>
                <c:pt idx="36">
                  <c:v>0.48833423765599565</c:v>
                </c:pt>
                <c:pt idx="37">
                  <c:v>0.48833423765599565</c:v>
                </c:pt>
                <c:pt idx="38">
                  <c:v>0.49559471365638763</c:v>
                </c:pt>
                <c:pt idx="39">
                  <c:v>0.52360372340425521</c:v>
                </c:pt>
                <c:pt idx="40">
                  <c:v>0.5348047538200339</c:v>
                </c:pt>
                <c:pt idx="41">
                  <c:v>0.57222787385554408</c:v>
                </c:pt>
                <c:pt idx="42">
                  <c:v>0.59255079006772016</c:v>
                </c:pt>
                <c:pt idx="43">
                  <c:v>0.59255079006772016</c:v>
                </c:pt>
                <c:pt idx="44">
                  <c:v>0.59255079006772016</c:v>
                </c:pt>
                <c:pt idx="45">
                  <c:v>0.68240901213171579</c:v>
                </c:pt>
                <c:pt idx="46">
                  <c:v>0.68240901213171579</c:v>
                </c:pt>
                <c:pt idx="47">
                  <c:v>0.76605058365758749</c:v>
                </c:pt>
                <c:pt idx="48">
                  <c:v>1.2422360248447206</c:v>
                </c:pt>
                <c:pt idx="49">
                  <c:v>1.9830028328611899</c:v>
                </c:pt>
                <c:pt idx="50">
                  <c:v>2.107856556255133</c:v>
                </c:pt>
                <c:pt idx="51">
                  <c:v>2.5641025641025639</c:v>
                </c:pt>
                <c:pt idx="52">
                  <c:v>2.8225806451612905</c:v>
                </c:pt>
                <c:pt idx="53">
                  <c:v>2.8225806451612905</c:v>
                </c:pt>
                <c:pt idx="54">
                  <c:v>2.8225806451612905</c:v>
                </c:pt>
                <c:pt idx="55">
                  <c:v>2.8225806451612905</c:v>
                </c:pt>
                <c:pt idx="56">
                  <c:v>2.8225806451612905</c:v>
                </c:pt>
                <c:pt idx="57">
                  <c:v>2.8225806451612905</c:v>
                </c:pt>
                <c:pt idx="58">
                  <c:v>2.8225806451612905</c:v>
                </c:pt>
                <c:pt idx="59">
                  <c:v>2.8225806451612905</c:v>
                </c:pt>
                <c:pt idx="60">
                  <c:v>2.8225806451612905</c:v>
                </c:pt>
                <c:pt idx="61">
                  <c:v>2.8225806451612905</c:v>
                </c:pt>
                <c:pt idx="62">
                  <c:v>2.8225806451612905</c:v>
                </c:pt>
                <c:pt idx="63">
                  <c:v>2.8225806451612905</c:v>
                </c:pt>
                <c:pt idx="64">
                  <c:v>2.8225806451612905</c:v>
                </c:pt>
                <c:pt idx="65">
                  <c:v>2.8225806451612905</c:v>
                </c:pt>
                <c:pt idx="66">
                  <c:v>2.8225806451612905</c:v>
                </c:pt>
                <c:pt idx="67">
                  <c:v>2.8225806451612905</c:v>
                </c:pt>
                <c:pt idx="68">
                  <c:v>2.8225806451612905</c:v>
                </c:pt>
                <c:pt idx="69">
                  <c:v>2.8225806451612905</c:v>
                </c:pt>
                <c:pt idx="70">
                  <c:v>2.9411764705882355</c:v>
                </c:pt>
                <c:pt idx="71">
                  <c:v>3.1818181818181812</c:v>
                </c:pt>
                <c:pt idx="72">
                  <c:v>3.5031847133757963</c:v>
                </c:pt>
                <c:pt idx="73">
                  <c:v>3.645833333333333</c:v>
                </c:pt>
                <c:pt idx="74">
                  <c:v>3.723404255319148</c:v>
                </c:pt>
                <c:pt idx="75">
                  <c:v>3.723404255319148</c:v>
                </c:pt>
                <c:pt idx="76">
                  <c:v>3.9325842696629216</c:v>
                </c:pt>
                <c:pt idx="77">
                  <c:v>4.0935672514619883</c:v>
                </c:pt>
                <c:pt idx="78">
                  <c:v>4.166666666666667</c:v>
                </c:pt>
                <c:pt idx="79">
                  <c:v>4.2682926829268286</c:v>
                </c:pt>
                <c:pt idx="80">
                  <c:v>7.1428571428571423</c:v>
                </c:pt>
                <c:pt idx="8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AE-4EF2-B526-45B080E3C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288016"/>
        <c:axId val="1578292176"/>
      </c:areaChart>
      <c:catAx>
        <c:axId val="1578288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78292176"/>
        <c:crosses val="autoZero"/>
        <c:auto val="1"/>
        <c:lblAlgn val="ctr"/>
        <c:lblOffset val="100"/>
        <c:noMultiLvlLbl val="0"/>
      </c:catAx>
      <c:valAx>
        <c:axId val="15782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8288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U_init</a:t>
            </a:r>
            <a:r>
              <a:rPr lang="fr-FR" baseline="0"/>
              <a:t> - Calcul Gain OK - Etude ADEME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ndard"/>
        <c:varyColors val="0"/>
        <c:ser>
          <c:idx val="1"/>
          <c:order val="0"/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Extract_Uinit_ADEME!$H$6:$H$147</c:f>
              <c:numCache>
                <c:formatCode>General</c:formatCode>
                <c:ptCount val="82"/>
                <c:pt idx="0">
                  <c:v>0.10529482551143202</c:v>
                </c:pt>
                <c:pt idx="1">
                  <c:v>0.13666062178413696</c:v>
                </c:pt>
                <c:pt idx="2">
                  <c:v>0.15720755548200815</c:v>
                </c:pt>
                <c:pt idx="3">
                  <c:v>0.16920928233777396</c:v>
                </c:pt>
                <c:pt idx="4">
                  <c:v>0.17582049564634963</c:v>
                </c:pt>
                <c:pt idx="5">
                  <c:v>0.17987159935061742</c:v>
                </c:pt>
                <c:pt idx="6">
                  <c:v>0.18063281032893258</c:v>
                </c:pt>
                <c:pt idx="7">
                  <c:v>0.20301624129930396</c:v>
                </c:pt>
                <c:pt idx="8">
                  <c:v>0.20805495292724935</c:v>
                </c:pt>
                <c:pt idx="9">
                  <c:v>0.20838846255623181</c:v>
                </c:pt>
                <c:pt idx="10">
                  <c:v>0.20838846255623181</c:v>
                </c:pt>
                <c:pt idx="11">
                  <c:v>0.20838846255623181</c:v>
                </c:pt>
                <c:pt idx="12">
                  <c:v>0.21014009339559706</c:v>
                </c:pt>
                <c:pt idx="13">
                  <c:v>0.21282345787446796</c:v>
                </c:pt>
                <c:pt idx="14">
                  <c:v>0.22598963593317989</c:v>
                </c:pt>
                <c:pt idx="15">
                  <c:v>0.23841961852861038</c:v>
                </c:pt>
                <c:pt idx="16">
                  <c:v>0.25423728813559321</c:v>
                </c:pt>
                <c:pt idx="17">
                  <c:v>0.2557648587203637</c:v>
                </c:pt>
                <c:pt idx="18">
                  <c:v>0.25840853158326493</c:v>
                </c:pt>
                <c:pt idx="19">
                  <c:v>0.27117768595041319</c:v>
                </c:pt>
                <c:pt idx="20">
                  <c:v>0.27117768595041319</c:v>
                </c:pt>
                <c:pt idx="21">
                  <c:v>0.28251627831889359</c:v>
                </c:pt>
                <c:pt idx="22">
                  <c:v>0.28251627831889359</c:v>
                </c:pt>
                <c:pt idx="23">
                  <c:v>0.28267599946156952</c:v>
                </c:pt>
                <c:pt idx="24">
                  <c:v>0.28267599946156952</c:v>
                </c:pt>
                <c:pt idx="25">
                  <c:v>0.28267599946156952</c:v>
                </c:pt>
                <c:pt idx="26">
                  <c:v>0.29616397141782624</c:v>
                </c:pt>
                <c:pt idx="27">
                  <c:v>0.33546325878594241</c:v>
                </c:pt>
                <c:pt idx="28">
                  <c:v>0.34807399058542732</c:v>
                </c:pt>
                <c:pt idx="29">
                  <c:v>0.37878787878787878</c:v>
                </c:pt>
                <c:pt idx="30">
                  <c:v>0.38812222769837351</c:v>
                </c:pt>
                <c:pt idx="31">
                  <c:v>0.38812222769837351</c:v>
                </c:pt>
                <c:pt idx="32">
                  <c:v>0.38812222769837351</c:v>
                </c:pt>
                <c:pt idx="33">
                  <c:v>0.389526076606795</c:v>
                </c:pt>
                <c:pt idx="34">
                  <c:v>0.40022639068564037</c:v>
                </c:pt>
                <c:pt idx="35">
                  <c:v>0.46902918403811789</c:v>
                </c:pt>
                <c:pt idx="36">
                  <c:v>0.48833423765599565</c:v>
                </c:pt>
                <c:pt idx="37">
                  <c:v>0.48833423765599565</c:v>
                </c:pt>
                <c:pt idx="38">
                  <c:v>0.49559471365638763</c:v>
                </c:pt>
                <c:pt idx="39">
                  <c:v>0.52360372340425521</c:v>
                </c:pt>
                <c:pt idx="40">
                  <c:v>0.5348047538200339</c:v>
                </c:pt>
                <c:pt idx="41">
                  <c:v>0.57222787385554408</c:v>
                </c:pt>
                <c:pt idx="42">
                  <c:v>0.59255079006772016</c:v>
                </c:pt>
                <c:pt idx="43">
                  <c:v>0.59255079006772016</c:v>
                </c:pt>
                <c:pt idx="44">
                  <c:v>0.59255079006772016</c:v>
                </c:pt>
                <c:pt idx="45">
                  <c:v>0.68240901213171579</c:v>
                </c:pt>
                <c:pt idx="46">
                  <c:v>0.68240901213171579</c:v>
                </c:pt>
                <c:pt idx="47">
                  <c:v>0.76605058365758749</c:v>
                </c:pt>
                <c:pt idx="48">
                  <c:v>1.2422360248447206</c:v>
                </c:pt>
                <c:pt idx="49">
                  <c:v>1.9830028328611899</c:v>
                </c:pt>
                <c:pt idx="50">
                  <c:v>2.107856556255133</c:v>
                </c:pt>
                <c:pt idx="51">
                  <c:v>2.5641025641025639</c:v>
                </c:pt>
                <c:pt idx="52">
                  <c:v>2.8225806451612905</c:v>
                </c:pt>
                <c:pt idx="53">
                  <c:v>2.8225806451612905</c:v>
                </c:pt>
                <c:pt idx="54">
                  <c:v>2.8225806451612905</c:v>
                </c:pt>
                <c:pt idx="55">
                  <c:v>2.8225806451612905</c:v>
                </c:pt>
                <c:pt idx="56">
                  <c:v>2.8225806451612905</c:v>
                </c:pt>
                <c:pt idx="57">
                  <c:v>2.8225806451612905</c:v>
                </c:pt>
                <c:pt idx="58">
                  <c:v>2.8225806451612905</c:v>
                </c:pt>
                <c:pt idx="59">
                  <c:v>2.8225806451612905</c:v>
                </c:pt>
                <c:pt idx="60">
                  <c:v>2.8225806451612905</c:v>
                </c:pt>
                <c:pt idx="61">
                  <c:v>2.8225806451612905</c:v>
                </c:pt>
                <c:pt idx="62">
                  <c:v>2.8225806451612905</c:v>
                </c:pt>
                <c:pt idx="63">
                  <c:v>2.8225806451612905</c:v>
                </c:pt>
                <c:pt idx="64">
                  <c:v>2.8225806451612905</c:v>
                </c:pt>
                <c:pt idx="65">
                  <c:v>2.8225806451612905</c:v>
                </c:pt>
                <c:pt idx="66">
                  <c:v>2.8225806451612905</c:v>
                </c:pt>
                <c:pt idx="67">
                  <c:v>2.8225806451612905</c:v>
                </c:pt>
                <c:pt idx="68">
                  <c:v>2.8225806451612905</c:v>
                </c:pt>
                <c:pt idx="69">
                  <c:v>2.8225806451612905</c:v>
                </c:pt>
                <c:pt idx="70">
                  <c:v>2.9411764705882355</c:v>
                </c:pt>
                <c:pt idx="71">
                  <c:v>3.1818181818181812</c:v>
                </c:pt>
                <c:pt idx="72">
                  <c:v>3.5031847133757963</c:v>
                </c:pt>
                <c:pt idx="73">
                  <c:v>3.645833333333333</c:v>
                </c:pt>
                <c:pt idx="74">
                  <c:v>3.723404255319148</c:v>
                </c:pt>
                <c:pt idx="75">
                  <c:v>3.723404255319148</c:v>
                </c:pt>
                <c:pt idx="76">
                  <c:v>3.9325842696629216</c:v>
                </c:pt>
                <c:pt idx="77">
                  <c:v>4.0935672514619883</c:v>
                </c:pt>
                <c:pt idx="78">
                  <c:v>4.166666666666667</c:v>
                </c:pt>
                <c:pt idx="79">
                  <c:v>4.2682926829268286</c:v>
                </c:pt>
                <c:pt idx="80">
                  <c:v>7.1428571428571423</c:v>
                </c:pt>
                <c:pt idx="8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92-4545-B225-17EE3F73C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288016"/>
        <c:axId val="1578292176"/>
      </c:areaChart>
      <c:catAx>
        <c:axId val="1578288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78292176"/>
        <c:crosses val="autoZero"/>
        <c:auto val="1"/>
        <c:lblAlgn val="ctr"/>
        <c:lblOffset val="100"/>
        <c:noMultiLvlLbl val="0"/>
      </c:catAx>
      <c:valAx>
        <c:axId val="15782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8288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70</xdr:row>
      <xdr:rowOff>127000</xdr:rowOff>
    </xdr:from>
    <xdr:to>
      <xdr:col>4</xdr:col>
      <xdr:colOff>434030</xdr:colOff>
      <xdr:row>97</xdr:row>
      <xdr:rowOff>88262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8CDE82-5693-415B-8DA0-170347133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5" y="15335250"/>
          <a:ext cx="7561905" cy="5104762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45</xdr:row>
      <xdr:rowOff>142875</xdr:rowOff>
    </xdr:from>
    <xdr:to>
      <xdr:col>1</xdr:col>
      <xdr:colOff>1301750</xdr:colOff>
      <xdr:row>59</xdr:row>
      <xdr:rowOff>79375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B4BBFF0-44D9-4B4A-B59C-C9FEBA431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317500</xdr:colOff>
      <xdr:row>117</xdr:row>
      <xdr:rowOff>142875</xdr:rowOff>
    </xdr:from>
    <xdr:to>
      <xdr:col>4</xdr:col>
      <xdr:colOff>345167</xdr:colOff>
      <xdr:row>142</xdr:row>
      <xdr:rowOff>47042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6C2B8B7-0690-477A-8849-E87EFE22C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500" y="23685500"/>
          <a:ext cx="7266667" cy="4666667"/>
        </a:xfrm>
        <a:prstGeom prst="rect">
          <a:avLst/>
        </a:prstGeom>
      </xdr:spPr>
    </xdr:pic>
    <xdr:clientData/>
  </xdr:twoCellAnchor>
  <xdr:twoCellAnchor>
    <xdr:from>
      <xdr:col>1</xdr:col>
      <xdr:colOff>1587500</xdr:colOff>
      <xdr:row>46</xdr:row>
      <xdr:rowOff>15874</xdr:rowOff>
    </xdr:from>
    <xdr:to>
      <xdr:col>4</xdr:col>
      <xdr:colOff>444500</xdr:colOff>
      <xdr:row>59</xdr:row>
      <xdr:rowOff>63499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FC60C646-8177-4F6A-B5AA-79CFE3DB1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12</xdr:row>
      <xdr:rowOff>190499</xdr:rowOff>
    </xdr:from>
    <xdr:to>
      <xdr:col>8</xdr:col>
      <xdr:colOff>552450</xdr:colOff>
      <xdr:row>35</xdr:row>
      <xdr:rowOff>9524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BD5C317-7805-4855-A4BE-4D0D3AA484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onnéesExternes_2" connectionId="6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Nombre de Uph_final (compartiments)" tableColumnId="1"/>
      <queryTableField id="2" name="Uph_final (compartiments)" tableColumnId="2"/>
      <queryTableField id="3" dataBound="0" tableColumnId="3"/>
    </queryTableFields>
  </queryTableRefresh>
</queryTable>
</file>

<file path=xl/queryTables/queryTable2.xml><?xml version="1.0" encoding="utf-8"?>
<queryTable xmlns="http://schemas.openxmlformats.org/spreadsheetml/2006/main" name="DonnéesExternes_1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Nombre de Uph final (compartiments)" tableColumnId="1"/>
      <queryTableField id="2" name="Uph final (compartiments)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2" name="Nombre_de_Uph_final__compartiments__par_Uph_final__compartiments__2020__2" displayName="Nombre_de_Uph_final__compartiments__par_Uph_final__compartiments__2020__2" ref="A1:C19" tableType="queryTable" totalsRowShown="0">
  <autoFilter ref="A1:C19"/>
  <tableColumns count="3">
    <tableColumn id="1" uniqueName="1" name="Nombre de Uph_final (compartiments)" queryTableFieldId="1"/>
    <tableColumn id="2" uniqueName="2" name="Uph_final (compartiments)" queryTableFieldId="2" dataDxfId="14"/>
    <tableColumn id="3" uniqueName="3" name="Colonne1" queryTableFieldId="3" dataDxfId="13">
      <calculatedColumnFormula>Nombre_de_Uph_final__compartiments__par_Uph_final__compartiments__2020__2[[#This Row],[Nombre de Uph_final (compartiments)]]+Nombre_de_Uph_final__compartiments__par_Uph_final__compartiments__2019__2[[#This Row],[Nombre de Uph final (compartiments)]]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Nombre_de_Uph_final__compartiments__par_Uph_final__compartiments__2019__2" displayName="Nombre_de_Uph_final__compartiments__par_Uph_final__compartiments__2019__2" ref="A1:B19" tableType="queryTable" totalsRowShown="0">
  <autoFilter ref="A1:B19"/>
  <tableColumns count="2">
    <tableColumn id="1" uniqueName="1" name="Nombre de Uph final (compartiments)" queryTableFieldId="1"/>
    <tableColumn id="2" uniqueName="2" name="Uph final (compartiments)" queryTableFieldId="2" dataDxfId="1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5" name="Tableau5" displayName="Tableau5" ref="A149:C154" totalsRowShown="0">
  <autoFilter ref="A149:C154"/>
  <tableColumns count="3">
    <tableColumn id="1" name="Moyenne de Uph" dataDxfId="11"/>
    <tableColumn id="2" name="2019" dataDxfId="10"/>
    <tableColumn id="3" name="202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6" name="Tableau6" displayName="Tableau6" ref="A156:C161" totalsRowShown="0" headerRowDxfId="9" dataDxfId="8">
  <autoFilter ref="A156:C161"/>
  <tableColumns count="3">
    <tableColumn id="1" name="Nombre de valeur" dataDxfId="7"/>
    <tableColumn id="2" name="2019" dataDxfId="6" dataCellStyle="Milliers"/>
    <tableColumn id="3" name="2020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7" name="Tableau7" displayName="Tableau7" ref="A163:B181" totalsRowShown="0" headerRowDxfId="4" dataDxfId="3" tableBorderDxfId="2">
  <autoFilter ref="A163:B181"/>
  <tableColumns count="2">
    <tableColumn id="1" name="Valeur" dataDxfId="1"/>
    <tableColumn id="2" name="Nombr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ffinergie.org/web/images/attach/base_doc/2913/20210429syntheseetude-renovation.pdf" TargetMode="Externa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50" zoomScaleNormal="50" workbookViewId="0">
      <selection activeCell="L1" sqref="L1"/>
    </sheetView>
  </sheetViews>
  <sheetFormatPr baseColWidth="10" defaultRowHeight="15" x14ac:dyDescent="0.25"/>
  <cols>
    <col min="1" max="1" width="23" customWidth="1"/>
    <col min="5" max="5" width="26.28515625" customWidth="1"/>
    <col min="6" max="6" width="15.140625" customWidth="1"/>
    <col min="8" max="8" width="21.42578125" customWidth="1"/>
    <col min="9" max="9" width="19" customWidth="1"/>
    <col min="10" max="10" width="17.28515625" customWidth="1"/>
    <col min="12" max="12" width="11.5703125" style="7"/>
    <col min="13" max="13" width="11.5703125" style="8"/>
  </cols>
  <sheetData>
    <row r="1" spans="1:14" ht="75" x14ac:dyDescent="0.25">
      <c r="A1" s="5" t="s">
        <v>70</v>
      </c>
      <c r="B1" s="5" t="s">
        <v>71</v>
      </c>
      <c r="C1" s="5" t="s">
        <v>72</v>
      </c>
      <c r="D1" s="5" t="s">
        <v>73</v>
      </c>
      <c r="E1" s="5" t="s">
        <v>74</v>
      </c>
      <c r="F1" s="5" t="s">
        <v>75</v>
      </c>
      <c r="G1" s="5"/>
      <c r="H1" s="5" t="s">
        <v>39</v>
      </c>
      <c r="I1" s="5" t="s">
        <v>40</v>
      </c>
      <c r="J1" s="5" t="s">
        <v>41</v>
      </c>
      <c r="K1" s="1"/>
      <c r="L1" s="6" t="s">
        <v>76</v>
      </c>
      <c r="M1" s="9" t="s">
        <v>76</v>
      </c>
      <c r="N1" s="12" t="s">
        <v>76</v>
      </c>
    </row>
    <row r="2" spans="1:14" ht="23.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1"/>
      <c r="L2" s="127" t="s">
        <v>80</v>
      </c>
      <c r="M2" s="127"/>
      <c r="N2" s="127"/>
    </row>
    <row r="3" spans="1:14" ht="18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1"/>
      <c r="L3" s="6" t="s">
        <v>77</v>
      </c>
      <c r="M3" s="11" t="s">
        <v>78</v>
      </c>
      <c r="N3" s="13" t="s">
        <v>79</v>
      </c>
    </row>
    <row r="4" spans="1:14" ht="30" x14ac:dyDescent="0.25">
      <c r="A4" s="1" t="s">
        <v>0</v>
      </c>
      <c r="B4" s="1" t="s">
        <v>1</v>
      </c>
      <c r="C4" s="1" t="s">
        <v>2</v>
      </c>
      <c r="D4" s="2">
        <f>1.7/100</f>
        <v>1.7000000000000001E-2</v>
      </c>
      <c r="E4" s="1" t="s">
        <v>7</v>
      </c>
      <c r="F4" s="1" t="s">
        <v>6</v>
      </c>
      <c r="G4" s="1"/>
      <c r="H4" s="1"/>
      <c r="I4" s="1"/>
      <c r="J4" s="1"/>
      <c r="L4" s="7">
        <v>2.5</v>
      </c>
      <c r="M4" s="10">
        <v>2.5</v>
      </c>
      <c r="N4" s="14">
        <v>2.5</v>
      </c>
    </row>
    <row r="5" spans="1:14" ht="30" x14ac:dyDescent="0.25">
      <c r="A5" s="1" t="s">
        <v>3</v>
      </c>
      <c r="B5" s="1" t="s">
        <v>1</v>
      </c>
      <c r="C5" s="1" t="s">
        <v>2</v>
      </c>
      <c r="D5" s="2">
        <v>0.11899999999999999</v>
      </c>
      <c r="E5" s="1" t="s">
        <v>7</v>
      </c>
      <c r="F5" s="1" t="s">
        <v>6</v>
      </c>
      <c r="G5" s="1"/>
      <c r="H5" s="1"/>
      <c r="I5" s="1"/>
      <c r="J5" s="1"/>
      <c r="L5" s="7">
        <f>L4</f>
        <v>2.5</v>
      </c>
      <c r="M5" s="10">
        <f>M4</f>
        <v>2.5</v>
      </c>
      <c r="N5" s="14">
        <f>N4</f>
        <v>2.5</v>
      </c>
    </row>
    <row r="6" spans="1:14" ht="30" x14ac:dyDescent="0.25">
      <c r="A6" s="1" t="s">
        <v>4</v>
      </c>
      <c r="B6" s="1" t="s">
        <v>1</v>
      </c>
      <c r="C6" s="1" t="s">
        <v>2</v>
      </c>
      <c r="D6" s="2">
        <v>3.3E-3</v>
      </c>
      <c r="E6" s="1" t="s">
        <v>7</v>
      </c>
      <c r="F6" s="1" t="s">
        <v>6</v>
      </c>
      <c r="G6" s="1"/>
      <c r="H6" s="1"/>
      <c r="I6" s="1"/>
      <c r="J6" s="1"/>
      <c r="L6" s="7">
        <f t="shared" ref="L6:L20" si="0">L5</f>
        <v>2.5</v>
      </c>
      <c r="M6" s="10">
        <f t="shared" ref="M6:M20" si="1">M5</f>
        <v>2.5</v>
      </c>
      <c r="N6" s="14">
        <f t="shared" ref="N6:N20" si="2">N5</f>
        <v>2.5</v>
      </c>
    </row>
    <row r="7" spans="1:14" ht="30" x14ac:dyDescent="0.25">
      <c r="A7" s="1" t="s">
        <v>5</v>
      </c>
      <c r="B7" s="1" t="str">
        <f>B6</f>
        <v>&lt;1915</v>
      </c>
      <c r="C7" s="1" t="s">
        <v>2</v>
      </c>
      <c r="D7" s="2">
        <v>5.5E-2</v>
      </c>
      <c r="E7" s="1" t="s">
        <v>7</v>
      </c>
      <c r="F7" s="1" t="s">
        <v>6</v>
      </c>
      <c r="G7" s="1"/>
      <c r="H7" s="1"/>
      <c r="I7" s="1"/>
      <c r="J7" s="1"/>
      <c r="L7" s="7">
        <f t="shared" si="0"/>
        <v>2.5</v>
      </c>
      <c r="M7" s="10">
        <f t="shared" si="1"/>
        <v>2.5</v>
      </c>
      <c r="N7" s="14">
        <f t="shared" si="2"/>
        <v>2.5</v>
      </c>
    </row>
    <row r="8" spans="1:14" ht="30" x14ac:dyDescent="0.25">
      <c r="A8" s="1" t="s">
        <v>8</v>
      </c>
      <c r="B8" s="1" t="str">
        <f t="shared" ref="B8:B9" si="3">B7</f>
        <v>&lt;1915</v>
      </c>
      <c r="C8" s="1" t="s">
        <v>2</v>
      </c>
      <c r="D8" s="2">
        <v>4.0000000000000001E-3</v>
      </c>
      <c r="E8" s="1" t="s">
        <v>7</v>
      </c>
      <c r="F8" s="1" t="s">
        <v>6</v>
      </c>
      <c r="G8" s="1"/>
      <c r="H8" s="1"/>
      <c r="I8" s="1"/>
      <c r="J8" s="1"/>
      <c r="L8" s="7">
        <f t="shared" si="0"/>
        <v>2.5</v>
      </c>
      <c r="M8" s="10">
        <f t="shared" si="1"/>
        <v>2.5</v>
      </c>
      <c r="N8" s="14">
        <f t="shared" si="2"/>
        <v>2.5</v>
      </c>
    </row>
    <row r="9" spans="1:14" ht="30" x14ac:dyDescent="0.25">
      <c r="A9" s="1" t="s">
        <v>9</v>
      </c>
      <c r="B9" s="1" t="str">
        <f t="shared" si="3"/>
        <v>&lt;1915</v>
      </c>
      <c r="C9" s="1" t="s">
        <v>2</v>
      </c>
      <c r="D9" s="2">
        <v>3.6999999999999998E-2</v>
      </c>
      <c r="E9" s="1" t="s">
        <v>10</v>
      </c>
      <c r="F9" s="1" t="s">
        <v>6</v>
      </c>
      <c r="G9" s="1"/>
      <c r="H9" s="1"/>
      <c r="I9" s="1"/>
      <c r="J9" s="1"/>
      <c r="L9" s="7">
        <f t="shared" si="0"/>
        <v>2.5</v>
      </c>
      <c r="M9" s="10">
        <f t="shared" si="1"/>
        <v>2.5</v>
      </c>
      <c r="N9" s="14">
        <f t="shared" si="2"/>
        <v>2.5</v>
      </c>
    </row>
    <row r="10" spans="1:14" ht="34.5" x14ac:dyDescent="0.25">
      <c r="A10" s="1" t="s">
        <v>0</v>
      </c>
      <c r="B10" s="1" t="s">
        <v>11</v>
      </c>
      <c r="C10" s="1" t="s">
        <v>2</v>
      </c>
      <c r="D10" s="2">
        <v>8.3999999999999995E-3</v>
      </c>
      <c r="E10" s="3" t="s">
        <v>12</v>
      </c>
      <c r="F10" s="3" t="s">
        <v>13</v>
      </c>
      <c r="G10" s="1"/>
      <c r="H10" s="1"/>
      <c r="I10" s="1"/>
      <c r="J10" s="1"/>
      <c r="L10" s="7">
        <f t="shared" si="0"/>
        <v>2.5</v>
      </c>
      <c r="M10" s="10">
        <f t="shared" si="1"/>
        <v>2.5</v>
      </c>
      <c r="N10" s="14">
        <f t="shared" si="2"/>
        <v>2.5</v>
      </c>
    </row>
    <row r="11" spans="1:14" ht="34.5" x14ac:dyDescent="0.25">
      <c r="A11" s="1" t="s">
        <v>3</v>
      </c>
      <c r="B11" s="1" t="str">
        <f>B10</f>
        <v>1915-1945</v>
      </c>
      <c r="C11" s="1" t="str">
        <f>C10</f>
        <v>toitures combles</v>
      </c>
      <c r="D11" s="2">
        <v>2.1999999999999999E-2</v>
      </c>
      <c r="E11" s="3" t="s">
        <v>12</v>
      </c>
      <c r="F11" s="3" t="s">
        <v>13</v>
      </c>
      <c r="G11" s="1"/>
      <c r="H11" s="1"/>
      <c r="I11" s="1"/>
      <c r="J11" s="1"/>
      <c r="L11" s="7">
        <f t="shared" si="0"/>
        <v>2.5</v>
      </c>
      <c r="M11" s="10">
        <f t="shared" si="1"/>
        <v>2.5</v>
      </c>
      <c r="N11" s="14">
        <f t="shared" si="2"/>
        <v>2.5</v>
      </c>
    </row>
    <row r="12" spans="1:14" ht="60" x14ac:dyDescent="0.25">
      <c r="A12" s="1" t="s">
        <v>14</v>
      </c>
      <c r="B12" s="1" t="str">
        <f t="shared" ref="B12:B25" si="4">B11</f>
        <v>1915-1945</v>
      </c>
      <c r="C12" s="1" t="str">
        <f>C13</f>
        <v>toiture terrasse ou combles perdus</v>
      </c>
      <c r="D12" s="2">
        <v>1.3000000000000001E-2</v>
      </c>
      <c r="E12" s="1" t="str">
        <f>E11</f>
        <v>Planchers métalliques remplissage en voûtains de briques, planchers bois, dalles en béton armé</v>
      </c>
      <c r="F12" s="1" t="str">
        <f>F11</f>
        <v>Charpente en bois, en métal ou structure béton</v>
      </c>
      <c r="G12" s="1"/>
      <c r="H12" s="1"/>
      <c r="I12" s="1"/>
      <c r="J12" s="1"/>
      <c r="L12" s="7">
        <f t="shared" si="0"/>
        <v>2.5</v>
      </c>
      <c r="M12" s="10">
        <f t="shared" si="1"/>
        <v>2.5</v>
      </c>
      <c r="N12" s="14">
        <f t="shared" si="2"/>
        <v>2.5</v>
      </c>
    </row>
    <row r="13" spans="1:14" ht="68.25" x14ac:dyDescent="0.25">
      <c r="A13" s="1" t="s">
        <v>15</v>
      </c>
      <c r="B13" s="1" t="str">
        <f t="shared" si="4"/>
        <v>1915-1945</v>
      </c>
      <c r="C13" s="1" t="s">
        <v>21</v>
      </c>
      <c r="D13" s="2">
        <v>2.1000000000000001E-2</v>
      </c>
      <c r="E13" s="1" t="str">
        <f t="shared" ref="E13:E20" si="5">E12</f>
        <v>Planchers métalliques remplissage en voûtains de briques, planchers bois, dalles en béton armé</v>
      </c>
      <c r="F13" s="3" t="s">
        <v>16</v>
      </c>
      <c r="G13" s="1"/>
      <c r="H13" s="1"/>
      <c r="I13" s="1"/>
      <c r="J13" s="1"/>
      <c r="L13" s="7">
        <f t="shared" si="0"/>
        <v>2.5</v>
      </c>
      <c r="M13" s="10">
        <f t="shared" si="1"/>
        <v>2.5</v>
      </c>
      <c r="N13" s="14">
        <f t="shared" si="2"/>
        <v>2.5</v>
      </c>
    </row>
    <row r="14" spans="1:14" ht="45.75" x14ac:dyDescent="0.25">
      <c r="A14" s="1" t="s">
        <v>17</v>
      </c>
      <c r="B14" s="1" t="str">
        <f t="shared" si="4"/>
        <v>1915-1945</v>
      </c>
      <c r="C14" s="3" t="s">
        <v>20</v>
      </c>
      <c r="D14" s="4">
        <v>0.01</v>
      </c>
      <c r="E14" s="3" t="s">
        <v>19</v>
      </c>
      <c r="F14" s="3" t="s">
        <v>18</v>
      </c>
      <c r="G14" s="1"/>
      <c r="H14" s="1"/>
      <c r="I14" s="1"/>
      <c r="J14" s="1"/>
      <c r="L14" s="7">
        <f t="shared" si="0"/>
        <v>2.5</v>
      </c>
      <c r="M14" s="10">
        <f t="shared" si="1"/>
        <v>2.5</v>
      </c>
      <c r="N14" s="14">
        <f t="shared" si="2"/>
        <v>2.5</v>
      </c>
    </row>
    <row r="15" spans="1:14" ht="79.5" x14ac:dyDescent="0.25">
      <c r="A15" s="1" t="s">
        <v>23</v>
      </c>
      <c r="B15" s="1" t="s">
        <v>22</v>
      </c>
      <c r="C15" s="3" t="s">
        <v>24</v>
      </c>
      <c r="D15" s="4">
        <v>0.04</v>
      </c>
      <c r="E15" s="3" t="s">
        <v>25</v>
      </c>
      <c r="F15" s="3" t="s">
        <v>26</v>
      </c>
      <c r="G15" s="1"/>
      <c r="H15" s="1"/>
      <c r="I15" s="1"/>
      <c r="J15" s="1"/>
      <c r="L15" s="7">
        <f t="shared" si="0"/>
        <v>2.5</v>
      </c>
      <c r="M15" s="10">
        <f t="shared" si="1"/>
        <v>2.5</v>
      </c>
      <c r="N15" s="14">
        <f t="shared" si="2"/>
        <v>2.5</v>
      </c>
    </row>
    <row r="16" spans="1:14" ht="23.25" x14ac:dyDescent="0.25">
      <c r="A16" s="1" t="s">
        <v>14</v>
      </c>
      <c r="B16" s="1" t="str">
        <f t="shared" si="4"/>
        <v>1945-1968</v>
      </c>
      <c r="C16" s="3" t="s">
        <v>28</v>
      </c>
      <c r="D16" s="2">
        <v>9.2999999999999999E-2</v>
      </c>
      <c r="E16" s="1" t="str">
        <f t="shared" si="5"/>
        <v>Béton armé</v>
      </c>
      <c r="F16" s="3" t="s">
        <v>27</v>
      </c>
      <c r="G16" s="1"/>
      <c r="H16" s="1"/>
      <c r="I16" s="1"/>
      <c r="J16" s="1"/>
      <c r="L16" s="7">
        <f t="shared" si="0"/>
        <v>2.5</v>
      </c>
      <c r="M16" s="10">
        <f t="shared" si="1"/>
        <v>2.5</v>
      </c>
      <c r="N16" s="14">
        <f t="shared" si="2"/>
        <v>2.5</v>
      </c>
    </row>
    <row r="17" spans="1:14" ht="45" x14ac:dyDescent="0.25">
      <c r="A17" s="1" t="s">
        <v>29</v>
      </c>
      <c r="B17" s="1" t="str">
        <f t="shared" si="4"/>
        <v>1945-1968</v>
      </c>
      <c r="C17" s="1" t="str">
        <f t="shared" ref="C17:C25" si="6">C16</f>
        <v>Toitures terrasses</v>
      </c>
      <c r="D17" s="4">
        <v>0.04</v>
      </c>
      <c r="E17" s="1" t="str">
        <f t="shared" si="5"/>
        <v>Béton armé</v>
      </c>
      <c r="F17" s="1" t="str">
        <f t="shared" ref="F17:F20" si="7">F16</f>
        <v>Toitures terrasses en béton armé</v>
      </c>
      <c r="G17" s="1"/>
      <c r="H17" s="1"/>
      <c r="I17" s="1"/>
      <c r="J17" s="1"/>
      <c r="L17" s="7">
        <f t="shared" si="0"/>
        <v>2.5</v>
      </c>
      <c r="M17" s="10">
        <f t="shared" si="1"/>
        <v>2.5</v>
      </c>
      <c r="N17" s="14">
        <f t="shared" si="2"/>
        <v>2.5</v>
      </c>
    </row>
    <row r="18" spans="1:14" ht="34.5" x14ac:dyDescent="0.25">
      <c r="A18" s="1" t="s">
        <v>23</v>
      </c>
      <c r="B18" s="1" t="s">
        <v>30</v>
      </c>
      <c r="C18" s="1" t="str">
        <f t="shared" si="6"/>
        <v>Toitures terrasses</v>
      </c>
      <c r="D18" s="2">
        <v>1.2999999999999999E-2</v>
      </c>
      <c r="E18" s="1" t="str">
        <f t="shared" si="5"/>
        <v>Béton armé</v>
      </c>
      <c r="F18" s="3" t="s">
        <v>31</v>
      </c>
      <c r="G18" s="1"/>
      <c r="H18" s="1"/>
      <c r="I18" s="1"/>
      <c r="J18" s="1"/>
      <c r="L18" s="7">
        <f t="shared" si="0"/>
        <v>2.5</v>
      </c>
      <c r="M18" s="10">
        <f t="shared" si="1"/>
        <v>2.5</v>
      </c>
      <c r="N18" s="14">
        <f t="shared" si="2"/>
        <v>2.5</v>
      </c>
    </row>
    <row r="19" spans="1:14" ht="30" x14ac:dyDescent="0.25">
      <c r="A19" s="1" t="s">
        <v>14</v>
      </c>
      <c r="B19" s="1" t="str">
        <f t="shared" si="4"/>
        <v>1969-1974</v>
      </c>
      <c r="C19" s="1" t="str">
        <f t="shared" si="6"/>
        <v>Toitures terrasses</v>
      </c>
      <c r="D19" s="2">
        <v>5.1999999999999998E-2</v>
      </c>
      <c r="E19" s="1" t="str">
        <f t="shared" si="5"/>
        <v>Béton armé</v>
      </c>
      <c r="F19" s="3" t="s">
        <v>27</v>
      </c>
      <c r="G19" s="1"/>
      <c r="H19" s="1"/>
      <c r="I19" s="1"/>
      <c r="J19" s="1"/>
      <c r="L19" s="7">
        <f t="shared" si="0"/>
        <v>2.5</v>
      </c>
      <c r="M19" s="10">
        <f t="shared" si="1"/>
        <v>2.5</v>
      </c>
      <c r="N19" s="14">
        <f t="shared" si="2"/>
        <v>2.5</v>
      </c>
    </row>
    <row r="20" spans="1:14" ht="45" x14ac:dyDescent="0.25">
      <c r="A20" s="1" t="s">
        <v>29</v>
      </c>
      <c r="B20" s="1" t="str">
        <f t="shared" si="4"/>
        <v>1969-1974</v>
      </c>
      <c r="C20" s="1" t="str">
        <f t="shared" si="6"/>
        <v>Toitures terrasses</v>
      </c>
      <c r="D20" s="2">
        <v>3.5000000000000003E-2</v>
      </c>
      <c r="E20" s="1" t="str">
        <f t="shared" si="5"/>
        <v>Béton armé</v>
      </c>
      <c r="F20" s="1" t="str">
        <f t="shared" si="7"/>
        <v>Toitures terrasses en béton armé</v>
      </c>
      <c r="G20" s="1"/>
      <c r="H20" s="1"/>
      <c r="I20" s="1"/>
      <c r="J20" s="1"/>
      <c r="L20" s="7">
        <f t="shared" si="0"/>
        <v>2.5</v>
      </c>
      <c r="M20" s="10">
        <f t="shared" si="1"/>
        <v>2.5</v>
      </c>
      <c r="N20" s="14">
        <f t="shared" si="2"/>
        <v>2.5</v>
      </c>
    </row>
    <row r="21" spans="1:14" ht="30" x14ac:dyDescent="0.25">
      <c r="A21" s="1" t="s">
        <v>32</v>
      </c>
      <c r="B21" s="1" t="s">
        <v>35</v>
      </c>
      <c r="C21" s="1" t="str">
        <f t="shared" si="6"/>
        <v>Toitures terrasses</v>
      </c>
      <c r="D21" s="2">
        <v>2.0999999999999999E-3</v>
      </c>
      <c r="E21" s="1" t="s">
        <v>33</v>
      </c>
      <c r="F21" s="3" t="s">
        <v>33</v>
      </c>
      <c r="G21" s="1"/>
      <c r="H21" s="1" t="s">
        <v>38</v>
      </c>
      <c r="I21" s="1" t="s">
        <v>42</v>
      </c>
      <c r="J21" s="1" t="s">
        <v>43</v>
      </c>
      <c r="L21" s="7">
        <v>0.92500000000000004</v>
      </c>
      <c r="M21" s="10">
        <v>1</v>
      </c>
      <c r="N21" s="14">
        <v>1</v>
      </c>
    </row>
    <row r="22" spans="1:14" ht="60" x14ac:dyDescent="0.25">
      <c r="A22" s="1" t="s">
        <v>34</v>
      </c>
      <c r="B22" s="1" t="s">
        <v>35</v>
      </c>
      <c r="C22" s="1" t="s">
        <v>37</v>
      </c>
      <c r="D22" s="2">
        <v>3.2000000000000002E-3</v>
      </c>
      <c r="E22" s="1" t="s">
        <v>33</v>
      </c>
      <c r="F22" s="3" t="s">
        <v>36</v>
      </c>
      <c r="G22" s="1"/>
      <c r="H22" s="1" t="str">
        <f>H21</f>
        <v>R de 1 à 1,3</v>
      </c>
      <c r="I22" s="1" t="str">
        <f>I21</f>
        <v>0,5 à 2,3</v>
      </c>
      <c r="J22" s="1" t="str">
        <f>J21</f>
        <v>1 à 2,3</v>
      </c>
      <c r="L22" s="7">
        <f>L21</f>
        <v>0.92500000000000004</v>
      </c>
      <c r="M22" s="10">
        <v>1</v>
      </c>
      <c r="N22" s="14">
        <v>1</v>
      </c>
    </row>
    <row r="23" spans="1:14" ht="60" x14ac:dyDescent="0.25">
      <c r="A23" s="1" t="s">
        <v>23</v>
      </c>
      <c r="B23" s="1" t="s">
        <v>44</v>
      </c>
      <c r="C23" s="1" t="str">
        <f t="shared" si="6"/>
        <v>toiture terrasse ou double pente</v>
      </c>
      <c r="D23" s="2">
        <v>1.0999999999999999E-2</v>
      </c>
      <c r="E23" s="1" t="s">
        <v>45</v>
      </c>
      <c r="F23" s="3" t="s">
        <v>46</v>
      </c>
      <c r="G23" s="1"/>
      <c r="H23" s="1" t="s">
        <v>47</v>
      </c>
      <c r="I23" s="1" t="s">
        <v>48</v>
      </c>
      <c r="J23" s="1">
        <v>1</v>
      </c>
      <c r="L23" s="7">
        <v>0.45</v>
      </c>
      <c r="M23" s="10">
        <v>0.47499999999999998</v>
      </c>
      <c r="N23" s="14">
        <v>0.48</v>
      </c>
    </row>
    <row r="24" spans="1:14" ht="60" x14ac:dyDescent="0.25">
      <c r="A24" s="1" t="s">
        <v>14</v>
      </c>
      <c r="B24" s="1" t="str">
        <f t="shared" si="4"/>
        <v>1975-1981</v>
      </c>
      <c r="C24" s="1" t="str">
        <f t="shared" si="6"/>
        <v>toiture terrasse ou double pente</v>
      </c>
      <c r="D24" s="4">
        <v>0.04</v>
      </c>
      <c r="E24" s="1" t="s">
        <v>33</v>
      </c>
      <c r="F24" s="3" t="s">
        <v>49</v>
      </c>
      <c r="G24" s="1"/>
      <c r="H24" s="1" t="str">
        <f>H23</f>
        <v>1 pour tt, 1,7 pour combles</v>
      </c>
      <c r="I24" s="1" t="str">
        <f t="shared" ref="I24:J25" si="8">I23</f>
        <v>0,5 à 1,5</v>
      </c>
      <c r="J24" s="1">
        <f t="shared" si="8"/>
        <v>1</v>
      </c>
      <c r="L24" s="7">
        <f>L23</f>
        <v>0.45</v>
      </c>
      <c r="M24" s="10">
        <v>0.42</v>
      </c>
      <c r="N24" s="14">
        <v>0.44</v>
      </c>
    </row>
    <row r="25" spans="1:14" ht="60" x14ac:dyDescent="0.25">
      <c r="A25" s="1" t="s">
        <v>29</v>
      </c>
      <c r="B25" s="1" t="str">
        <f t="shared" si="4"/>
        <v>1975-1981</v>
      </c>
      <c r="C25" s="1" t="str">
        <f t="shared" si="6"/>
        <v>toiture terrasse ou double pente</v>
      </c>
      <c r="D25" s="2">
        <v>2.3E-2</v>
      </c>
      <c r="E25" s="1" t="s">
        <v>33</v>
      </c>
      <c r="F25" s="1" t="str">
        <f>F24</f>
        <v xml:space="preserve">dalle béton </v>
      </c>
      <c r="G25" s="1"/>
      <c r="H25" s="1" t="str">
        <f>H24</f>
        <v>1 pour tt, 1,7 pour combles</v>
      </c>
      <c r="I25" s="1" t="str">
        <f t="shared" si="8"/>
        <v>0,5 à 1,5</v>
      </c>
      <c r="J25" s="1">
        <f t="shared" si="8"/>
        <v>1</v>
      </c>
      <c r="L25" s="7">
        <f>L24</f>
        <v>0.45</v>
      </c>
      <c r="M25" s="10">
        <v>0.42</v>
      </c>
      <c r="N25" s="14">
        <v>0.44</v>
      </c>
    </row>
    <row r="26" spans="1:14" ht="60" x14ac:dyDescent="0.25">
      <c r="A26" s="1" t="s">
        <v>23</v>
      </c>
      <c r="B26" s="1" t="s">
        <v>50</v>
      </c>
      <c r="C26" s="1" t="s">
        <v>51</v>
      </c>
      <c r="D26" s="2">
        <v>1.2999999999999999E-2</v>
      </c>
      <c r="E26" s="1" t="s">
        <v>52</v>
      </c>
      <c r="F26" s="3" t="s">
        <v>49</v>
      </c>
      <c r="G26" s="1"/>
      <c r="H26" s="1" t="s">
        <v>53</v>
      </c>
      <c r="I26" s="1" t="s">
        <v>54</v>
      </c>
      <c r="J26" s="1" t="s">
        <v>43</v>
      </c>
      <c r="L26" s="7">
        <v>0.3</v>
      </c>
      <c r="M26" s="10">
        <v>0.32</v>
      </c>
      <c r="N26" s="14">
        <v>0.33</v>
      </c>
    </row>
    <row r="27" spans="1:14" ht="60" x14ac:dyDescent="0.25">
      <c r="A27" s="1" t="s">
        <v>14</v>
      </c>
      <c r="B27" s="1" t="s">
        <v>50</v>
      </c>
      <c r="C27" s="1" t="s">
        <v>55</v>
      </c>
      <c r="D27" s="2">
        <v>2.9000000000000001E-2</v>
      </c>
      <c r="E27" s="1" t="s">
        <v>52</v>
      </c>
      <c r="F27" s="3" t="s">
        <v>49</v>
      </c>
      <c r="G27" s="1"/>
      <c r="H27" s="1" t="str">
        <f>H26</f>
        <v>1,3 pour tt, 2,9 pour combles</v>
      </c>
      <c r="I27" s="1" t="str">
        <f t="shared" ref="I27:J30" si="9">I26</f>
        <v>1,5 à 2,3</v>
      </c>
      <c r="J27" s="1" t="str">
        <f t="shared" si="9"/>
        <v>1 à 2,3</v>
      </c>
      <c r="L27" s="7">
        <f>L26</f>
        <v>0.3</v>
      </c>
      <c r="M27" s="10">
        <v>0.32</v>
      </c>
      <c r="N27" s="14">
        <v>0.33</v>
      </c>
    </row>
    <row r="28" spans="1:14" ht="60" x14ac:dyDescent="0.25">
      <c r="A28" s="1" t="s">
        <v>29</v>
      </c>
      <c r="B28" s="1" t="s">
        <v>50</v>
      </c>
      <c r="C28" s="1" t="str">
        <f>C27</f>
        <v>toiture terrasse ou combles habitables</v>
      </c>
      <c r="D28" s="2">
        <v>9.4000000000000004E-3</v>
      </c>
      <c r="E28" s="1" t="str">
        <f>E27</f>
        <v>dalle béton</v>
      </c>
      <c r="F28" s="1" t="str">
        <f>F27</f>
        <v xml:space="preserve">dalle béton </v>
      </c>
      <c r="G28" s="1"/>
      <c r="H28" s="1" t="s">
        <v>58</v>
      </c>
      <c r="I28" s="1" t="s">
        <v>59</v>
      </c>
      <c r="J28" s="1" t="s">
        <v>60</v>
      </c>
      <c r="L28" s="7">
        <f>L27</f>
        <v>0.3</v>
      </c>
      <c r="M28" s="10">
        <v>0.32</v>
      </c>
      <c r="N28" s="14">
        <v>0.33</v>
      </c>
    </row>
    <row r="29" spans="1:14" ht="60" x14ac:dyDescent="0.25">
      <c r="A29" s="1" t="s">
        <v>23</v>
      </c>
      <c r="B29" s="1" t="s">
        <v>56</v>
      </c>
      <c r="C29" s="1" t="str">
        <f t="shared" ref="C29:C32" si="10">C28</f>
        <v>toiture terrasse ou combles habitables</v>
      </c>
      <c r="D29" s="2">
        <v>2.7E-2</v>
      </c>
      <c r="E29" s="1" t="s">
        <v>57</v>
      </c>
      <c r="F29" s="1" t="str">
        <f t="shared" ref="F29:F32" si="11">F28</f>
        <v xml:space="preserve">dalle béton </v>
      </c>
      <c r="G29" s="1"/>
      <c r="H29" s="1" t="str">
        <f t="shared" ref="H29:H30" si="12">H28</f>
        <v>2 pour tt, 2,9 pour combles</v>
      </c>
      <c r="I29" s="1" t="str">
        <f t="shared" si="9"/>
        <v>2,3 à 2,9</v>
      </c>
      <c r="J29" s="1" t="str">
        <f t="shared" si="9"/>
        <v>2,3 à 2,5</v>
      </c>
      <c r="L29" s="7">
        <v>0.25</v>
      </c>
      <c r="M29" s="10">
        <v>0.26</v>
      </c>
      <c r="N29" s="14">
        <v>0.3</v>
      </c>
    </row>
    <row r="30" spans="1:14" ht="60" x14ac:dyDescent="0.25">
      <c r="A30" s="1" t="s">
        <v>61</v>
      </c>
      <c r="B30" s="1" t="str">
        <f>B29</f>
        <v>1990-2000</v>
      </c>
      <c r="C30" s="1" t="str">
        <f t="shared" si="10"/>
        <v>toiture terrasse ou combles habitables</v>
      </c>
      <c r="D30" s="2">
        <v>9.1999999999999998E-2</v>
      </c>
      <c r="E30" s="1" t="str">
        <f>E29</f>
        <v>dalle béton ou poutrelles entrevous</v>
      </c>
      <c r="F30" s="1" t="str">
        <f t="shared" si="11"/>
        <v xml:space="preserve">dalle béton </v>
      </c>
      <c r="G30" s="1"/>
      <c r="H30" s="1" t="str">
        <f t="shared" si="12"/>
        <v>2 pour tt, 2,9 pour combles</v>
      </c>
      <c r="I30" s="1" t="str">
        <f t="shared" si="9"/>
        <v>2,3 à 2,9</v>
      </c>
      <c r="J30" s="1" t="str">
        <f t="shared" si="9"/>
        <v>2,3 à 2,5</v>
      </c>
      <c r="L30" s="7">
        <v>0.25</v>
      </c>
      <c r="M30" s="10">
        <v>0.26</v>
      </c>
      <c r="N30" s="14">
        <v>0.3</v>
      </c>
    </row>
    <row r="31" spans="1:14" ht="60" x14ac:dyDescent="0.25">
      <c r="A31" s="1" t="s">
        <v>5</v>
      </c>
      <c r="B31" s="1" t="s">
        <v>62</v>
      </c>
      <c r="C31" s="1" t="str">
        <f t="shared" si="10"/>
        <v>toiture terrasse ou combles habitables</v>
      </c>
      <c r="D31" s="2">
        <v>4.5999999999999999E-2</v>
      </c>
      <c r="E31" s="1" t="s">
        <v>25</v>
      </c>
      <c r="F31" s="1" t="str">
        <f t="shared" si="11"/>
        <v xml:space="preserve">dalle béton </v>
      </c>
      <c r="G31" s="1"/>
      <c r="H31" s="1">
        <v>3.3</v>
      </c>
      <c r="I31" s="1">
        <v>2.9</v>
      </c>
      <c r="J31" s="1">
        <v>2.5</v>
      </c>
      <c r="L31" s="7">
        <v>0.23</v>
      </c>
      <c r="M31" s="10">
        <v>0.23</v>
      </c>
      <c r="N31" s="14">
        <v>0.3</v>
      </c>
    </row>
    <row r="32" spans="1:14" ht="60" x14ac:dyDescent="0.25">
      <c r="A32" s="1" t="s">
        <v>63</v>
      </c>
      <c r="B32" s="1" t="s">
        <v>64</v>
      </c>
      <c r="C32" s="1" t="str">
        <f t="shared" si="10"/>
        <v>toiture terrasse ou combles habitables</v>
      </c>
      <c r="D32" s="2">
        <v>0.156</v>
      </c>
      <c r="E32" s="1" t="str">
        <f>E30</f>
        <v>dalle béton ou poutrelles entrevous</v>
      </c>
      <c r="F32" s="1" t="str">
        <f t="shared" si="11"/>
        <v xml:space="preserve">dalle béton </v>
      </c>
      <c r="G32" s="1"/>
      <c r="H32" s="1" t="s">
        <v>65</v>
      </c>
      <c r="I32" s="1" t="s">
        <v>66</v>
      </c>
      <c r="J32" s="3" t="s">
        <v>67</v>
      </c>
      <c r="L32" s="7">
        <v>0.14000000000000001</v>
      </c>
      <c r="M32" s="10">
        <v>0.2</v>
      </c>
      <c r="N32" s="14">
        <v>0.25</v>
      </c>
    </row>
  </sheetData>
  <mergeCells count="1">
    <mergeCell ref="L2:N2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"/>
  <sheetViews>
    <sheetView workbookViewId="0">
      <selection activeCell="J38" sqref="J38"/>
    </sheetView>
  </sheetViews>
  <sheetFormatPr baseColWidth="10" defaultRowHeight="15" x14ac:dyDescent="0.25"/>
  <sheetData>
    <row r="1" spans="2:11" x14ac:dyDescent="0.25">
      <c r="B1" s="24"/>
      <c r="C1" s="135" t="s">
        <v>354</v>
      </c>
      <c r="D1" s="135"/>
      <c r="E1" s="135"/>
      <c r="F1" s="135"/>
      <c r="G1" s="135"/>
      <c r="H1" s="135"/>
      <c r="I1" s="135"/>
      <c r="J1" s="135"/>
      <c r="K1" s="135"/>
    </row>
    <row r="2" spans="2:11" x14ac:dyDescent="0.25">
      <c r="B2" s="24"/>
      <c r="C2" s="109">
        <v>1.2</v>
      </c>
      <c r="D2" s="109">
        <v>1.3</v>
      </c>
      <c r="E2" s="109">
        <v>1.4</v>
      </c>
      <c r="F2" s="109">
        <v>1.5</v>
      </c>
      <c r="G2" s="109">
        <v>1.6</v>
      </c>
      <c r="H2" s="109">
        <v>1.7</v>
      </c>
      <c r="I2" s="109">
        <v>1.8</v>
      </c>
      <c r="J2" s="109">
        <v>1.9</v>
      </c>
      <c r="K2" s="109">
        <v>2</v>
      </c>
    </row>
    <row r="3" spans="2:11" x14ac:dyDescent="0.25">
      <c r="B3" s="109" t="s">
        <v>77</v>
      </c>
      <c r="C3" s="110">
        <f>1.1*(C$2-0.18)*24/'Calcul Montants CEE_Combles'!$C$13*0.7*'Calcul Montants CEE_Combles'!$C$17*1900/1000</f>
        <v>677.98241280000002</v>
      </c>
      <c r="D3" s="110">
        <f>1.1*(D$2-0.18)*24/'Calcul Montants CEE_Combles'!$C$13*0.7*'Calcul Montants CEE_Combles'!$C$17*1900/1000</f>
        <v>744.45127680000019</v>
      </c>
      <c r="E3" s="110">
        <f>1.1*(E$2-0.18)*24/'Calcul Montants CEE_Combles'!$C$13*0.7*'Calcul Montants CEE_Combles'!$C$17*1900/1000</f>
        <v>810.92014080000001</v>
      </c>
      <c r="F3" s="110">
        <f>1.1*(F$2-0.18)*24/'Calcul Montants CEE_Combles'!$C$13*0.7*'Calcul Montants CEE_Combles'!$C$17*1900/1000</f>
        <v>877.38900480000007</v>
      </c>
      <c r="G3" s="110">
        <f>1.1*(G$2-0.18)*24/'Calcul Montants CEE_Combles'!$C$13*0.7*'Calcul Montants CEE_Combles'!$C$17*1900/1000</f>
        <v>943.85786880000023</v>
      </c>
      <c r="H3" s="110">
        <f>1.1*(H$2-0.18)*24/'Calcul Montants CEE_Combles'!$C$13*0.7*'Calcul Montants CEE_Combles'!$C$17*1900/1000</f>
        <v>1010.3267327999999</v>
      </c>
      <c r="I3" s="110">
        <f>1.1*(I$2-0.18)*24/'Calcul Montants CEE_Combles'!$C$13*0.7*'Calcul Montants CEE_Combles'!$C$17*1900/1000</f>
        <v>1076.7955968000003</v>
      </c>
      <c r="J3" s="110">
        <f>1.1*(J$2-0.18)*24/'Calcul Montants CEE_Combles'!$C$13*0.7*'Calcul Montants CEE_Combles'!$C$17*1900/1000</f>
        <v>1143.2644608000003</v>
      </c>
      <c r="K3" s="110">
        <f>1.1*(K$2-0.18)*24/'Calcul Montants CEE_Combles'!$C$13*0.7*'Calcul Montants CEE_Combles'!$C$17*1900/1000</f>
        <v>1209.7333248000002</v>
      </c>
    </row>
    <row r="4" spans="2:11" x14ac:dyDescent="0.25">
      <c r="B4" s="109" t="s">
        <v>78</v>
      </c>
      <c r="C4" s="110">
        <f>0.9*(C$2-0.18)*24/'Calcul Montants CEE_Combles'!$C$13*0.7*'Calcul Montants CEE_Combles'!$C$17*1900/1000</f>
        <v>554.71288320000019</v>
      </c>
      <c r="D4" s="110">
        <f>0.9*(D$2-0.18)*24/'Calcul Montants CEE_Combles'!$C$13*0.7*'Calcul Montants CEE_Combles'!$C$17*1900/1000</f>
        <v>609.09649920000027</v>
      </c>
      <c r="E4" s="110">
        <f>0.9*(E$2-0.18)*24/'Calcul Montants CEE_Combles'!$C$13*0.7*'Calcul Montants CEE_Combles'!$C$17*1900/1000</f>
        <v>663.48011520000023</v>
      </c>
      <c r="F4" s="110">
        <f>0.9*(F$2-0.18)*24/'Calcul Montants CEE_Combles'!$C$13*0.7*'Calcul Montants CEE_Combles'!$C$17*1900/1000</f>
        <v>717.86373120000007</v>
      </c>
      <c r="G4" s="110">
        <f>0.9*(G$2-0.18)*24/'Calcul Montants CEE_Combles'!$C$13*0.7*'Calcul Montants CEE_Combles'!$C$17*1900/1000</f>
        <v>772.24734720000015</v>
      </c>
      <c r="H4" s="110">
        <f>0.9*(H$2-0.18)*24/'Calcul Montants CEE_Combles'!$C$13*0.7*'Calcul Montants CEE_Combles'!$C$17*1900/1000</f>
        <v>826.6309632</v>
      </c>
      <c r="I4" s="110">
        <f>0.9*(I$2-0.18)*24/'Calcul Montants CEE_Combles'!$C$13*0.7*'Calcul Montants CEE_Combles'!$C$17*1900/1000</f>
        <v>881.01457920000018</v>
      </c>
      <c r="J4" s="110">
        <f>0.9*(J$2-0.18)*24/'Calcul Montants CEE_Combles'!$C$13*0.7*'Calcul Montants CEE_Combles'!$C$17*1900/1000</f>
        <v>935.39819520000003</v>
      </c>
      <c r="K4" s="110">
        <f>0.9*(K$2-0.18)*24/'Calcul Montants CEE_Combles'!$C$13*0.7*'Calcul Montants CEE_Combles'!$C$17*1900/1000</f>
        <v>989.78181120000011</v>
      </c>
    </row>
    <row r="5" spans="2:11" x14ac:dyDescent="0.25">
      <c r="B5" s="109" t="s">
        <v>79</v>
      </c>
      <c r="C5" s="110">
        <f>0.6*(C$2-0.18)*24/'Calcul Montants CEE_Combles'!$C$13*0.7*'Calcul Montants CEE_Combles'!$C$17*1900/1000</f>
        <v>369.8085888</v>
      </c>
      <c r="D5" s="110">
        <f>0.6*(D$2-0.18)*24/'Calcul Montants CEE_Combles'!$C$13*0.7*'Calcul Montants CEE_Combles'!$C$17*1900/1000</f>
        <v>406.06433280000005</v>
      </c>
      <c r="E5" s="110">
        <f>0.6*(E$2-0.18)*24/'Calcul Montants CEE_Combles'!$C$13*0.7*'Calcul Montants CEE_Combles'!$C$17*1900/1000</f>
        <v>442.32007679999998</v>
      </c>
      <c r="F5" s="110">
        <f>0.6*(F$2-0.18)*24/'Calcul Montants CEE_Combles'!$C$13*0.7*'Calcul Montants CEE_Combles'!$C$17*1900/1000</f>
        <v>478.57582080000009</v>
      </c>
      <c r="G5" s="110">
        <f>0.6*(G$2-0.18)*24/'Calcul Montants CEE_Combles'!$C$13*0.7*'Calcul Montants CEE_Combles'!$C$17*1900/1000</f>
        <v>514.83156480000002</v>
      </c>
      <c r="H5" s="110">
        <f>0.6*(H$2-0.18)*24/'Calcul Montants CEE_Combles'!$C$13*0.7*'Calcul Montants CEE_Combles'!$C$17*1900/1000</f>
        <v>551.08730880000007</v>
      </c>
      <c r="I5" s="110">
        <f>0.6*(I$2-0.18)*24/'Calcul Montants CEE_Combles'!$C$13*0.7*'Calcul Montants CEE_Combles'!$C$17*1900/1000</f>
        <v>587.3430527999999</v>
      </c>
      <c r="J5" s="110">
        <f>0.6*(J$2-0.18)*24/'Calcul Montants CEE_Combles'!$C$13*0.7*'Calcul Montants CEE_Combles'!$C$17*1900/1000</f>
        <v>623.59879680000017</v>
      </c>
      <c r="K5" s="110">
        <f>0.6*(K$2-0.18)*24/'Calcul Montants CEE_Combles'!$C$13*0.7*'Calcul Montants CEE_Combles'!$C$17*1900/1000</f>
        <v>659.85454080000011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48"/>
  <sheetViews>
    <sheetView workbookViewId="0">
      <selection activeCell="D6" sqref="D6"/>
    </sheetView>
  </sheetViews>
  <sheetFormatPr baseColWidth="10" defaultRowHeight="15" x14ac:dyDescent="0.25"/>
  <cols>
    <col min="2" max="2" width="24.5703125" customWidth="1"/>
  </cols>
  <sheetData>
    <row r="1" spans="1:14" x14ac:dyDescent="0.25">
      <c r="A1" t="s">
        <v>307</v>
      </c>
      <c r="B1" t="s">
        <v>158</v>
      </c>
      <c r="C1" t="s">
        <v>159</v>
      </c>
      <c r="F1" t="s">
        <v>311</v>
      </c>
      <c r="G1" t="s">
        <v>308</v>
      </c>
      <c r="H1" t="s">
        <v>158</v>
      </c>
    </row>
    <row r="2" spans="1:14" hidden="1" x14ac:dyDescent="0.25">
      <c r="A2" t="s">
        <v>291</v>
      </c>
      <c r="B2">
        <v>0.10529482551143202</v>
      </c>
      <c r="C2">
        <f t="shared" ref="C2:C33" si="0">IFERROR(B2,1)</f>
        <v>0.10529482551143202</v>
      </c>
      <c r="F2" t="s">
        <v>160</v>
      </c>
      <c r="G2" t="s">
        <v>309</v>
      </c>
      <c r="H2" t="e">
        <v>#DIV/0!</v>
      </c>
    </row>
    <row r="3" spans="1:14" hidden="1" x14ac:dyDescent="0.25">
      <c r="A3" t="s">
        <v>184</v>
      </c>
      <c r="B3">
        <v>0.13007928642220018</v>
      </c>
      <c r="C3">
        <f t="shared" si="0"/>
        <v>0.13007928642220018</v>
      </c>
      <c r="F3" t="s">
        <v>161</v>
      </c>
      <c r="G3">
        <v>0</v>
      </c>
      <c r="H3">
        <v>2.8225806451612905</v>
      </c>
    </row>
    <row r="4" spans="1:14" hidden="1" x14ac:dyDescent="0.25">
      <c r="A4" t="s">
        <v>302</v>
      </c>
      <c r="B4">
        <v>0.13395135227079435</v>
      </c>
      <c r="C4">
        <f t="shared" si="0"/>
        <v>0.13395135227079435</v>
      </c>
      <c r="F4" t="s">
        <v>162</v>
      </c>
      <c r="G4" t="s">
        <v>309</v>
      </c>
      <c r="H4">
        <v>2.8225806451612905</v>
      </c>
    </row>
    <row r="5" spans="1:14" hidden="1" x14ac:dyDescent="0.25">
      <c r="A5" t="s">
        <v>275</v>
      </c>
      <c r="B5">
        <v>0.13666062178413696</v>
      </c>
      <c r="C5">
        <f t="shared" si="0"/>
        <v>0.13666062178413696</v>
      </c>
      <c r="F5" t="s">
        <v>163</v>
      </c>
      <c r="G5" t="s">
        <v>309</v>
      </c>
      <c r="H5">
        <v>3.4920634920634921</v>
      </c>
    </row>
    <row r="6" spans="1:14" x14ac:dyDescent="0.25">
      <c r="A6" t="s">
        <v>206</v>
      </c>
      <c r="B6">
        <v>0.15720755548200815</v>
      </c>
      <c r="C6">
        <f t="shared" si="0"/>
        <v>0.15720755548200815</v>
      </c>
      <c r="F6" t="s">
        <v>292</v>
      </c>
      <c r="G6" t="s">
        <v>310</v>
      </c>
      <c r="H6">
        <v>0.10529482551143202</v>
      </c>
      <c r="J6" t="s">
        <v>292</v>
      </c>
      <c r="K6" t="s">
        <v>310</v>
      </c>
      <c r="L6">
        <v>0.10529482551143202</v>
      </c>
      <c r="N6">
        <f>AVERAGE(L6:L86)</f>
        <v>1.4761929623444725</v>
      </c>
    </row>
    <row r="7" spans="1:14" x14ac:dyDescent="0.25">
      <c r="A7" t="s">
        <v>208</v>
      </c>
      <c r="B7">
        <v>0.16920928233777396</v>
      </c>
      <c r="C7">
        <f t="shared" si="0"/>
        <v>0.16920928233777396</v>
      </c>
      <c r="F7" t="s">
        <v>276</v>
      </c>
      <c r="G7" t="s">
        <v>310</v>
      </c>
      <c r="H7">
        <v>0.13666062178413696</v>
      </c>
      <c r="J7" t="s">
        <v>276</v>
      </c>
      <c r="K7" t="s">
        <v>310</v>
      </c>
      <c r="L7">
        <v>0.13666062178413696</v>
      </c>
    </row>
    <row r="8" spans="1:14" x14ac:dyDescent="0.25">
      <c r="A8" t="s">
        <v>266</v>
      </c>
      <c r="B8">
        <v>0.17582049564634963</v>
      </c>
      <c r="C8">
        <f t="shared" si="0"/>
        <v>0.17582049564634963</v>
      </c>
      <c r="F8" t="s">
        <v>207</v>
      </c>
      <c r="G8" t="s">
        <v>310</v>
      </c>
      <c r="H8">
        <v>0.15720755548200815</v>
      </c>
      <c r="J8" t="s">
        <v>207</v>
      </c>
      <c r="K8" t="s">
        <v>310</v>
      </c>
      <c r="L8">
        <v>0.15720755548200815</v>
      </c>
    </row>
    <row r="9" spans="1:14" x14ac:dyDescent="0.25">
      <c r="A9" t="s">
        <v>169</v>
      </c>
      <c r="B9">
        <v>0.1785107106426386</v>
      </c>
      <c r="C9">
        <f t="shared" si="0"/>
        <v>0.1785107106426386</v>
      </c>
      <c r="F9" t="s">
        <v>209</v>
      </c>
      <c r="G9" t="s">
        <v>310</v>
      </c>
      <c r="H9">
        <v>0.16920928233777396</v>
      </c>
      <c r="J9" t="s">
        <v>209</v>
      </c>
      <c r="K9" t="s">
        <v>310</v>
      </c>
      <c r="L9">
        <v>0.16920928233777396</v>
      </c>
    </row>
    <row r="10" spans="1:14" x14ac:dyDescent="0.25">
      <c r="A10" t="s">
        <v>176</v>
      </c>
      <c r="B10">
        <v>0.17861193014288956</v>
      </c>
      <c r="C10">
        <f t="shared" si="0"/>
        <v>0.17861193014288956</v>
      </c>
      <c r="F10" t="s">
        <v>267</v>
      </c>
      <c r="G10" t="s">
        <v>310</v>
      </c>
      <c r="H10">
        <v>0.17582049564634963</v>
      </c>
      <c r="J10" t="s">
        <v>267</v>
      </c>
      <c r="K10" t="s">
        <v>310</v>
      </c>
      <c r="L10">
        <v>0.17582049564634963</v>
      </c>
    </row>
    <row r="11" spans="1:14" hidden="1" x14ac:dyDescent="0.25">
      <c r="A11" t="s">
        <v>186</v>
      </c>
      <c r="B11">
        <v>0.17987159935061742</v>
      </c>
      <c r="C11">
        <f t="shared" si="0"/>
        <v>0.17987159935061742</v>
      </c>
      <c r="F11" t="s">
        <v>169</v>
      </c>
      <c r="G11" t="s">
        <v>309</v>
      </c>
      <c r="H11">
        <v>0.25324205487838813</v>
      </c>
      <c r="J11" t="s">
        <v>187</v>
      </c>
      <c r="K11" t="s">
        <v>310</v>
      </c>
      <c r="L11">
        <v>0.17987159935061742</v>
      </c>
    </row>
    <row r="12" spans="1:14" hidden="1" x14ac:dyDescent="0.25">
      <c r="A12" t="s">
        <v>261</v>
      </c>
      <c r="B12">
        <v>0.18063281032893258</v>
      </c>
      <c r="C12">
        <f t="shared" si="0"/>
        <v>0.18063281032893258</v>
      </c>
      <c r="F12" t="s">
        <v>170</v>
      </c>
      <c r="G12" t="s">
        <v>309</v>
      </c>
      <c r="H12">
        <v>0.1785107106426386</v>
      </c>
      <c r="J12" t="s">
        <v>262</v>
      </c>
      <c r="K12" t="s">
        <v>310</v>
      </c>
      <c r="L12">
        <v>0.18063281032893258</v>
      </c>
    </row>
    <row r="13" spans="1:14" x14ac:dyDescent="0.25">
      <c r="A13" t="s">
        <v>300</v>
      </c>
      <c r="B13">
        <v>0.19126308365599734</v>
      </c>
      <c r="C13">
        <f t="shared" si="0"/>
        <v>0.19126308365599734</v>
      </c>
      <c r="F13" t="s">
        <v>187</v>
      </c>
      <c r="G13" t="s">
        <v>310</v>
      </c>
      <c r="H13">
        <v>0.17987159935061742</v>
      </c>
      <c r="J13" t="s">
        <v>215</v>
      </c>
      <c r="K13" t="s">
        <v>310</v>
      </c>
      <c r="L13">
        <v>0.20301624129930396</v>
      </c>
    </row>
    <row r="14" spans="1:14" hidden="1" x14ac:dyDescent="0.25">
      <c r="A14" t="s">
        <v>214</v>
      </c>
      <c r="B14">
        <v>0.20301624129930396</v>
      </c>
      <c r="C14">
        <f t="shared" si="0"/>
        <v>0.20301624129930396</v>
      </c>
      <c r="F14" t="s">
        <v>172</v>
      </c>
      <c r="G14" t="s">
        <v>309</v>
      </c>
      <c r="H14">
        <v>0.86633663366336633</v>
      </c>
      <c r="J14" t="s">
        <v>271</v>
      </c>
      <c r="K14" t="s">
        <v>310</v>
      </c>
      <c r="L14">
        <v>0.20805495292724935</v>
      </c>
    </row>
    <row r="15" spans="1:14" x14ac:dyDescent="0.25">
      <c r="A15" t="s">
        <v>270</v>
      </c>
      <c r="B15">
        <v>0.20805495292724935</v>
      </c>
      <c r="C15">
        <f t="shared" si="0"/>
        <v>0.20805495292724935</v>
      </c>
      <c r="F15" t="s">
        <v>262</v>
      </c>
      <c r="G15" t="s">
        <v>310</v>
      </c>
      <c r="H15">
        <v>0.18063281032893258</v>
      </c>
      <c r="J15" t="s">
        <v>253</v>
      </c>
      <c r="K15" t="s">
        <v>310</v>
      </c>
      <c r="L15">
        <v>0.20838846255623181</v>
      </c>
    </row>
    <row r="16" spans="1:14" x14ac:dyDescent="0.25">
      <c r="A16" t="s">
        <v>252</v>
      </c>
      <c r="B16">
        <v>0.20838846255623181</v>
      </c>
      <c r="C16">
        <f t="shared" si="0"/>
        <v>0.20838846255623181</v>
      </c>
      <c r="F16" t="s">
        <v>215</v>
      </c>
      <c r="G16" t="s">
        <v>310</v>
      </c>
      <c r="H16">
        <v>0.20301624129930396</v>
      </c>
      <c r="J16" t="s">
        <v>258</v>
      </c>
      <c r="K16" t="s">
        <v>310</v>
      </c>
      <c r="L16">
        <v>0.20838846255623181</v>
      </c>
    </row>
    <row r="17" spans="1:12" x14ac:dyDescent="0.25">
      <c r="A17" t="s">
        <v>257</v>
      </c>
      <c r="B17">
        <v>0.20838846255623181</v>
      </c>
      <c r="C17">
        <f t="shared" si="0"/>
        <v>0.20838846255623181</v>
      </c>
      <c r="F17" t="s">
        <v>271</v>
      </c>
      <c r="G17" t="s">
        <v>310</v>
      </c>
      <c r="H17">
        <v>0.20805495292724935</v>
      </c>
      <c r="J17" t="s">
        <v>274</v>
      </c>
      <c r="K17" t="s">
        <v>310</v>
      </c>
      <c r="L17">
        <v>0.20838846255623181</v>
      </c>
    </row>
    <row r="18" spans="1:12" x14ac:dyDescent="0.25">
      <c r="A18" t="s">
        <v>273</v>
      </c>
      <c r="B18">
        <v>0.20838846255623181</v>
      </c>
      <c r="C18">
        <f t="shared" si="0"/>
        <v>0.20838846255623181</v>
      </c>
      <c r="F18" t="s">
        <v>253</v>
      </c>
      <c r="G18" t="s">
        <v>310</v>
      </c>
      <c r="H18">
        <v>0.20838846255623181</v>
      </c>
      <c r="J18" t="s">
        <v>181</v>
      </c>
      <c r="K18" t="s">
        <v>310</v>
      </c>
      <c r="L18">
        <v>0.21014009339559706</v>
      </c>
    </row>
    <row r="19" spans="1:12" hidden="1" x14ac:dyDescent="0.25">
      <c r="A19" t="s">
        <v>180</v>
      </c>
      <c r="B19">
        <v>0.21014009339559706</v>
      </c>
      <c r="C19">
        <f t="shared" si="0"/>
        <v>0.21014009339559706</v>
      </c>
      <c r="F19" t="s">
        <v>177</v>
      </c>
      <c r="G19" t="s">
        <v>309</v>
      </c>
      <c r="H19">
        <v>0.17861193014288956</v>
      </c>
      <c r="J19" t="s">
        <v>243</v>
      </c>
      <c r="K19" t="s">
        <v>310</v>
      </c>
      <c r="L19">
        <v>0.21282345787446796</v>
      </c>
    </row>
    <row r="20" spans="1:12" hidden="1" x14ac:dyDescent="0.25">
      <c r="A20" t="s">
        <v>242</v>
      </c>
      <c r="B20">
        <v>0.21282345787446796</v>
      </c>
      <c r="C20">
        <f t="shared" si="0"/>
        <v>0.21282345787446796</v>
      </c>
      <c r="F20" t="s">
        <v>178</v>
      </c>
      <c r="G20" t="s">
        <v>309</v>
      </c>
      <c r="H20">
        <v>0.21347248576850097</v>
      </c>
      <c r="J20" t="s">
        <v>235</v>
      </c>
      <c r="K20" t="s">
        <v>310</v>
      </c>
      <c r="L20">
        <v>0.22598963593317989</v>
      </c>
    </row>
    <row r="21" spans="1:12" x14ac:dyDescent="0.25">
      <c r="A21" t="s">
        <v>177</v>
      </c>
      <c r="B21">
        <v>0.21347248576850097</v>
      </c>
      <c r="C21">
        <f t="shared" si="0"/>
        <v>0.21347248576850097</v>
      </c>
      <c r="F21" t="s">
        <v>258</v>
      </c>
      <c r="G21" t="s">
        <v>310</v>
      </c>
      <c r="H21">
        <v>0.20838846255623181</v>
      </c>
      <c r="J21" t="s">
        <v>260</v>
      </c>
      <c r="K21" t="s">
        <v>310</v>
      </c>
      <c r="L21">
        <v>0.23841961852861038</v>
      </c>
    </row>
    <row r="22" spans="1:12" hidden="1" x14ac:dyDescent="0.25">
      <c r="A22" t="s">
        <v>234</v>
      </c>
      <c r="B22">
        <v>0.22598963593317989</v>
      </c>
      <c r="C22">
        <f t="shared" si="0"/>
        <v>0.22598963593317989</v>
      </c>
      <c r="F22" t="s">
        <v>180</v>
      </c>
      <c r="G22" t="s">
        <v>309</v>
      </c>
      <c r="H22">
        <v>2.8225806451612905</v>
      </c>
      <c r="J22" t="s">
        <v>259</v>
      </c>
      <c r="K22" t="s">
        <v>310</v>
      </c>
      <c r="L22">
        <v>0.25423728813559321</v>
      </c>
    </row>
    <row r="23" spans="1:12" x14ac:dyDescent="0.25">
      <c r="A23" t="s">
        <v>259</v>
      </c>
      <c r="B23">
        <v>0.23841961852861038</v>
      </c>
      <c r="C23">
        <f t="shared" si="0"/>
        <v>0.23841961852861038</v>
      </c>
      <c r="F23" t="s">
        <v>274</v>
      </c>
      <c r="G23" t="s">
        <v>310</v>
      </c>
      <c r="H23">
        <v>0.20838846255623181</v>
      </c>
      <c r="J23" t="s">
        <v>263</v>
      </c>
      <c r="K23" t="s">
        <v>310</v>
      </c>
      <c r="L23">
        <v>0.2557648587203637</v>
      </c>
    </row>
    <row r="24" spans="1:12" x14ac:dyDescent="0.25">
      <c r="A24" t="s">
        <v>168</v>
      </c>
      <c r="B24">
        <v>0.25324205487838813</v>
      </c>
      <c r="C24">
        <f t="shared" si="0"/>
        <v>0.25324205487838813</v>
      </c>
      <c r="F24" t="s">
        <v>181</v>
      </c>
      <c r="G24" t="s">
        <v>310</v>
      </c>
      <c r="H24">
        <v>0.21014009339559706</v>
      </c>
      <c r="J24" t="s">
        <v>249</v>
      </c>
      <c r="K24" t="s">
        <v>310</v>
      </c>
      <c r="L24">
        <v>0.25840853158326493</v>
      </c>
    </row>
    <row r="25" spans="1:12" x14ac:dyDescent="0.25">
      <c r="A25" t="s">
        <v>258</v>
      </c>
      <c r="B25">
        <v>0.25423728813559321</v>
      </c>
      <c r="C25">
        <f t="shared" si="0"/>
        <v>0.25423728813559321</v>
      </c>
      <c r="F25" t="s">
        <v>243</v>
      </c>
      <c r="G25" t="s">
        <v>310</v>
      </c>
      <c r="H25">
        <v>0.21282345787446796</v>
      </c>
      <c r="J25" t="s">
        <v>189</v>
      </c>
      <c r="K25" t="s">
        <v>310</v>
      </c>
      <c r="L25">
        <v>0.27117768595041319</v>
      </c>
    </row>
    <row r="26" spans="1:12" x14ac:dyDescent="0.25">
      <c r="A26" t="s">
        <v>262</v>
      </c>
      <c r="B26">
        <v>0.2557648587203637</v>
      </c>
      <c r="C26">
        <f t="shared" si="0"/>
        <v>0.2557648587203637</v>
      </c>
      <c r="F26" t="s">
        <v>235</v>
      </c>
      <c r="G26" t="s">
        <v>310</v>
      </c>
      <c r="H26">
        <v>0.22598963593317989</v>
      </c>
      <c r="J26" t="s">
        <v>290</v>
      </c>
      <c r="K26" t="s">
        <v>310</v>
      </c>
      <c r="L26">
        <v>0.27117768595041319</v>
      </c>
    </row>
    <row r="27" spans="1:12" hidden="1" x14ac:dyDescent="0.25">
      <c r="A27" t="s">
        <v>248</v>
      </c>
      <c r="B27">
        <v>0.25840853158326493</v>
      </c>
      <c r="C27">
        <f t="shared" si="0"/>
        <v>0.25840853158326493</v>
      </c>
      <c r="F27" t="s">
        <v>185</v>
      </c>
      <c r="G27" t="s">
        <v>309</v>
      </c>
      <c r="H27">
        <v>0.13007928642220018</v>
      </c>
      <c r="J27" t="s">
        <v>244</v>
      </c>
      <c r="K27" t="s">
        <v>310</v>
      </c>
      <c r="L27">
        <v>0.28251627831889359</v>
      </c>
    </row>
    <row r="28" spans="1:12" x14ac:dyDescent="0.25">
      <c r="A28" t="s">
        <v>188</v>
      </c>
      <c r="B28">
        <v>0.27117768595041319</v>
      </c>
      <c r="C28">
        <f t="shared" si="0"/>
        <v>0.27117768595041319</v>
      </c>
      <c r="F28" t="s">
        <v>260</v>
      </c>
      <c r="G28" t="s">
        <v>310</v>
      </c>
      <c r="H28">
        <v>0.23841961852861038</v>
      </c>
      <c r="J28" t="s">
        <v>248</v>
      </c>
      <c r="K28" t="s">
        <v>310</v>
      </c>
      <c r="L28">
        <v>0.28251627831889359</v>
      </c>
    </row>
    <row r="29" spans="1:12" x14ac:dyDescent="0.25">
      <c r="A29" t="s">
        <v>289</v>
      </c>
      <c r="B29">
        <v>0.27117768595041319</v>
      </c>
      <c r="C29">
        <f t="shared" si="0"/>
        <v>0.27117768595041319</v>
      </c>
      <c r="F29" t="s">
        <v>259</v>
      </c>
      <c r="G29" t="s">
        <v>310</v>
      </c>
      <c r="H29">
        <v>0.25423728813559321</v>
      </c>
      <c r="J29" t="s">
        <v>269</v>
      </c>
      <c r="K29" t="s">
        <v>310</v>
      </c>
      <c r="L29">
        <v>0.28267599946156952</v>
      </c>
    </row>
    <row r="30" spans="1:12" x14ac:dyDescent="0.25">
      <c r="A30" t="s">
        <v>296</v>
      </c>
      <c r="B30">
        <v>0.27117768595041319</v>
      </c>
      <c r="C30">
        <f t="shared" si="0"/>
        <v>0.27117768595041319</v>
      </c>
      <c r="F30" t="s">
        <v>263</v>
      </c>
      <c r="G30" t="s">
        <v>310</v>
      </c>
      <c r="H30">
        <v>0.2557648587203637</v>
      </c>
      <c r="J30" t="s">
        <v>294</v>
      </c>
      <c r="K30" t="s">
        <v>310</v>
      </c>
      <c r="L30">
        <v>0.28267599946156952</v>
      </c>
    </row>
    <row r="31" spans="1:12" x14ac:dyDescent="0.25">
      <c r="A31" t="s">
        <v>224</v>
      </c>
      <c r="B31">
        <v>0.27186225645672857</v>
      </c>
      <c r="C31">
        <f t="shared" si="0"/>
        <v>0.27186225645672857</v>
      </c>
      <c r="F31" t="s">
        <v>249</v>
      </c>
      <c r="G31" t="s">
        <v>310</v>
      </c>
      <c r="H31">
        <v>0.25840853158326493</v>
      </c>
      <c r="J31" t="s">
        <v>298</v>
      </c>
      <c r="K31" t="s">
        <v>310</v>
      </c>
      <c r="L31">
        <v>0.28267599946156952</v>
      </c>
    </row>
    <row r="32" spans="1:12" hidden="1" x14ac:dyDescent="0.25">
      <c r="A32" t="s">
        <v>243</v>
      </c>
      <c r="B32">
        <v>0.28251627831889359</v>
      </c>
      <c r="C32">
        <f t="shared" si="0"/>
        <v>0.28251627831889359</v>
      </c>
      <c r="F32" t="s">
        <v>190</v>
      </c>
      <c r="G32" t="s">
        <v>309</v>
      </c>
      <c r="H32">
        <v>0.80645161290322565</v>
      </c>
      <c r="J32" t="s">
        <v>165</v>
      </c>
      <c r="K32" t="s">
        <v>310</v>
      </c>
      <c r="L32">
        <v>0.29616397141782624</v>
      </c>
    </row>
    <row r="33" spans="1:12" x14ac:dyDescent="0.25">
      <c r="A33" t="s">
        <v>247</v>
      </c>
      <c r="B33">
        <v>0.28251627831889359</v>
      </c>
      <c r="C33">
        <f t="shared" si="0"/>
        <v>0.28251627831889359</v>
      </c>
      <c r="F33" t="s">
        <v>189</v>
      </c>
      <c r="G33" t="s">
        <v>310</v>
      </c>
      <c r="H33">
        <v>0.27117768595041319</v>
      </c>
      <c r="J33" t="s">
        <v>246</v>
      </c>
      <c r="K33" t="s">
        <v>310</v>
      </c>
      <c r="L33">
        <v>0.33546325878594241</v>
      </c>
    </row>
    <row r="34" spans="1:12" x14ac:dyDescent="0.25">
      <c r="A34" t="s">
        <v>268</v>
      </c>
      <c r="B34">
        <v>0.28267599946156952</v>
      </c>
      <c r="C34">
        <f t="shared" ref="C34:C65" si="1">IFERROR(B34,1)</f>
        <v>0.28267599946156952</v>
      </c>
      <c r="F34" t="s">
        <v>290</v>
      </c>
      <c r="G34" t="s">
        <v>310</v>
      </c>
      <c r="H34">
        <v>0.27117768595041319</v>
      </c>
      <c r="J34" t="s">
        <v>229</v>
      </c>
      <c r="K34" t="s">
        <v>310</v>
      </c>
      <c r="L34">
        <v>0.34807399058542732</v>
      </c>
    </row>
    <row r="35" spans="1:12" x14ac:dyDescent="0.25">
      <c r="A35" t="s">
        <v>293</v>
      </c>
      <c r="B35">
        <v>0.28267599946156952</v>
      </c>
      <c r="C35">
        <f t="shared" si="1"/>
        <v>0.28267599946156952</v>
      </c>
      <c r="F35" t="s">
        <v>244</v>
      </c>
      <c r="G35" t="s">
        <v>310</v>
      </c>
      <c r="H35">
        <v>0.28251627831889359</v>
      </c>
      <c r="J35" t="s">
        <v>305</v>
      </c>
      <c r="K35" t="s">
        <v>310</v>
      </c>
      <c r="L35">
        <v>0.37878787878787878</v>
      </c>
    </row>
    <row r="36" spans="1:12" x14ac:dyDescent="0.25">
      <c r="A36" t="s">
        <v>297</v>
      </c>
      <c r="B36">
        <v>0.28267599946156952</v>
      </c>
      <c r="C36">
        <f t="shared" si="1"/>
        <v>0.28267599946156952</v>
      </c>
      <c r="F36" t="s">
        <v>248</v>
      </c>
      <c r="G36" t="s">
        <v>310</v>
      </c>
      <c r="H36">
        <v>0.28251627831889359</v>
      </c>
      <c r="J36" t="s">
        <v>167</v>
      </c>
      <c r="K36" t="s">
        <v>310</v>
      </c>
      <c r="L36">
        <v>0.38812222769837351</v>
      </c>
    </row>
    <row r="37" spans="1:12" hidden="1" x14ac:dyDescent="0.25">
      <c r="A37" t="s">
        <v>164</v>
      </c>
      <c r="B37">
        <v>0.29616397141782624</v>
      </c>
      <c r="C37">
        <f t="shared" si="1"/>
        <v>0.29616397141782624</v>
      </c>
      <c r="F37" t="s">
        <v>195</v>
      </c>
      <c r="G37" t="s">
        <v>309</v>
      </c>
      <c r="H37">
        <v>2.8225806451612905</v>
      </c>
      <c r="J37" t="s">
        <v>214</v>
      </c>
      <c r="K37" t="s">
        <v>310</v>
      </c>
      <c r="L37">
        <v>0.38812222769837351</v>
      </c>
    </row>
    <row r="38" spans="1:12" hidden="1" x14ac:dyDescent="0.25">
      <c r="A38" t="s">
        <v>245</v>
      </c>
      <c r="B38">
        <v>0.33546325878594241</v>
      </c>
      <c r="C38">
        <f t="shared" si="1"/>
        <v>0.33546325878594241</v>
      </c>
      <c r="F38" t="s">
        <v>196</v>
      </c>
      <c r="G38">
        <v>0</v>
      </c>
      <c r="H38">
        <v>0.59255079006772016</v>
      </c>
      <c r="J38" t="s">
        <v>221</v>
      </c>
      <c r="K38" t="s">
        <v>310</v>
      </c>
      <c r="L38">
        <v>0.38812222769837351</v>
      </c>
    </row>
    <row r="39" spans="1:12" hidden="1" x14ac:dyDescent="0.25">
      <c r="A39" t="s">
        <v>228</v>
      </c>
      <c r="B39">
        <v>0.34807399058542732</v>
      </c>
      <c r="C39">
        <f t="shared" si="1"/>
        <v>0.34807399058542732</v>
      </c>
      <c r="F39" t="s">
        <v>197</v>
      </c>
      <c r="G39" t="s">
        <v>309</v>
      </c>
      <c r="H39">
        <v>2.8225806451612905</v>
      </c>
      <c r="J39" t="s">
        <v>284</v>
      </c>
      <c r="K39" t="s">
        <v>310</v>
      </c>
      <c r="L39">
        <v>0.389526076606795</v>
      </c>
    </row>
    <row r="40" spans="1:12" hidden="1" x14ac:dyDescent="0.25">
      <c r="A40" t="s">
        <v>201</v>
      </c>
      <c r="B40">
        <v>0.3556609365737996</v>
      </c>
      <c r="C40">
        <f t="shared" si="1"/>
        <v>0.3556609365737996</v>
      </c>
      <c r="F40" t="s">
        <v>198</v>
      </c>
      <c r="G40" t="s">
        <v>309</v>
      </c>
      <c r="H40">
        <v>0.45801526717557245</v>
      </c>
      <c r="J40" t="s">
        <v>236</v>
      </c>
      <c r="K40" t="s">
        <v>310</v>
      </c>
      <c r="L40">
        <v>0.40022639068564037</v>
      </c>
    </row>
    <row r="41" spans="1:12" hidden="1" x14ac:dyDescent="0.25">
      <c r="A41" t="s">
        <v>304</v>
      </c>
      <c r="B41">
        <v>0.37878787878787878</v>
      </c>
      <c r="C41">
        <f t="shared" si="1"/>
        <v>0.37878787878787878</v>
      </c>
      <c r="F41" t="s">
        <v>199</v>
      </c>
      <c r="G41" t="s">
        <v>309</v>
      </c>
      <c r="H41">
        <v>2.8225806451612905</v>
      </c>
      <c r="J41" t="s">
        <v>192</v>
      </c>
      <c r="K41" t="s">
        <v>310</v>
      </c>
      <c r="L41">
        <v>0.46902918403811789</v>
      </c>
    </row>
    <row r="42" spans="1:12" hidden="1" x14ac:dyDescent="0.25">
      <c r="A42" t="s">
        <v>166</v>
      </c>
      <c r="B42">
        <v>0.38812222769837351</v>
      </c>
      <c r="C42">
        <f t="shared" si="1"/>
        <v>0.38812222769837351</v>
      </c>
      <c r="F42" t="s">
        <v>200</v>
      </c>
      <c r="G42">
        <v>0</v>
      </c>
      <c r="H42">
        <v>3.1818181818181812</v>
      </c>
      <c r="J42" t="s">
        <v>275</v>
      </c>
      <c r="K42" t="s">
        <v>310</v>
      </c>
      <c r="L42">
        <v>0.48833423765599565</v>
      </c>
    </row>
    <row r="43" spans="1:12" x14ac:dyDescent="0.25">
      <c r="A43" t="s">
        <v>213</v>
      </c>
      <c r="B43">
        <v>0.38812222769837351</v>
      </c>
      <c r="C43">
        <f t="shared" si="1"/>
        <v>0.38812222769837351</v>
      </c>
      <c r="F43" t="s">
        <v>269</v>
      </c>
      <c r="G43" t="s">
        <v>310</v>
      </c>
      <c r="H43">
        <v>0.28267599946156952</v>
      </c>
      <c r="J43" t="s">
        <v>293</v>
      </c>
      <c r="K43" t="s">
        <v>310</v>
      </c>
      <c r="L43">
        <v>0.48833423765599565</v>
      </c>
    </row>
    <row r="44" spans="1:12" hidden="1" x14ac:dyDescent="0.25">
      <c r="A44" t="s">
        <v>220</v>
      </c>
      <c r="B44">
        <v>0.38812222769837351</v>
      </c>
      <c r="C44">
        <f t="shared" si="1"/>
        <v>0.38812222769837351</v>
      </c>
      <c r="F44" t="s">
        <v>202</v>
      </c>
      <c r="G44" t="s">
        <v>309</v>
      </c>
      <c r="H44">
        <v>0.3556609365737996</v>
      </c>
      <c r="J44" t="s">
        <v>219</v>
      </c>
      <c r="K44" t="s">
        <v>310</v>
      </c>
      <c r="L44">
        <v>0.49559471365638763</v>
      </c>
    </row>
    <row r="45" spans="1:12" hidden="1" x14ac:dyDescent="0.25">
      <c r="A45" t="s">
        <v>236</v>
      </c>
      <c r="B45">
        <v>0.38812222769837351</v>
      </c>
      <c r="C45">
        <f t="shared" si="1"/>
        <v>0.38812222769837351</v>
      </c>
      <c r="F45" t="s">
        <v>203</v>
      </c>
      <c r="G45" t="s">
        <v>309</v>
      </c>
      <c r="H45">
        <v>2.8225806451612905</v>
      </c>
      <c r="J45" t="s">
        <v>289</v>
      </c>
      <c r="K45" t="s">
        <v>310</v>
      </c>
      <c r="L45">
        <v>0.52360372340425521</v>
      </c>
    </row>
    <row r="46" spans="1:12" x14ac:dyDescent="0.25">
      <c r="A46" t="s">
        <v>264</v>
      </c>
      <c r="B46">
        <v>0.38812222769837351</v>
      </c>
      <c r="C46">
        <f t="shared" si="1"/>
        <v>0.38812222769837351</v>
      </c>
      <c r="F46" t="s">
        <v>294</v>
      </c>
      <c r="G46" t="s">
        <v>310</v>
      </c>
      <c r="H46">
        <v>0.28267599946156952</v>
      </c>
      <c r="J46" t="s">
        <v>280</v>
      </c>
      <c r="K46" t="s">
        <v>310</v>
      </c>
      <c r="L46">
        <v>0.5348047538200339</v>
      </c>
    </row>
    <row r="47" spans="1:12" hidden="1" x14ac:dyDescent="0.25">
      <c r="A47" t="s">
        <v>282</v>
      </c>
      <c r="B47">
        <v>0.38812222769837351</v>
      </c>
      <c r="C47">
        <f t="shared" si="1"/>
        <v>0.38812222769837351</v>
      </c>
      <c r="F47" t="s">
        <v>205</v>
      </c>
      <c r="G47" t="s">
        <v>309</v>
      </c>
      <c r="H47">
        <v>3.9325842696629216</v>
      </c>
      <c r="J47" t="s">
        <v>175</v>
      </c>
      <c r="K47" t="s">
        <v>310</v>
      </c>
      <c r="L47">
        <v>0.57222787385554408</v>
      </c>
    </row>
    <row r="48" spans="1:12" hidden="1" x14ac:dyDescent="0.25">
      <c r="A48" t="s">
        <v>240</v>
      </c>
      <c r="B48">
        <v>0.389526076606795</v>
      </c>
      <c r="C48">
        <f t="shared" si="1"/>
        <v>0.389526076606795</v>
      </c>
      <c r="F48" t="s">
        <v>206</v>
      </c>
      <c r="G48" t="s">
        <v>309</v>
      </c>
      <c r="H48">
        <v>2.8225806451612905</v>
      </c>
      <c r="J48" t="s">
        <v>168</v>
      </c>
      <c r="K48" t="s">
        <v>310</v>
      </c>
      <c r="L48">
        <v>0.59255079006772016</v>
      </c>
    </row>
    <row r="49" spans="1:12" x14ac:dyDescent="0.25">
      <c r="A49" t="s">
        <v>283</v>
      </c>
      <c r="B49">
        <v>0.389526076606795</v>
      </c>
      <c r="C49">
        <f t="shared" si="1"/>
        <v>0.389526076606795</v>
      </c>
      <c r="F49" t="s">
        <v>298</v>
      </c>
      <c r="G49" t="s">
        <v>310</v>
      </c>
      <c r="H49">
        <v>0.28267599946156952</v>
      </c>
      <c r="J49" t="s">
        <v>233</v>
      </c>
      <c r="K49" t="s">
        <v>310</v>
      </c>
      <c r="L49">
        <v>0.59255079006772016</v>
      </c>
    </row>
    <row r="50" spans="1:12" x14ac:dyDescent="0.25">
      <c r="A50" t="s">
        <v>238</v>
      </c>
      <c r="B50">
        <v>0.3934241955880286</v>
      </c>
      <c r="C50">
        <f t="shared" si="1"/>
        <v>0.3934241955880286</v>
      </c>
      <c r="F50" t="s">
        <v>165</v>
      </c>
      <c r="G50" t="s">
        <v>310</v>
      </c>
      <c r="H50">
        <v>0.29616397141782624</v>
      </c>
      <c r="J50" t="s">
        <v>291</v>
      </c>
      <c r="K50" t="s">
        <v>310</v>
      </c>
      <c r="L50">
        <v>0.59255079006772016</v>
      </c>
    </row>
    <row r="51" spans="1:12" x14ac:dyDescent="0.25">
      <c r="A51" t="s">
        <v>235</v>
      </c>
      <c r="B51">
        <v>0.40022639068564037</v>
      </c>
      <c r="C51">
        <f t="shared" si="1"/>
        <v>0.40022639068564037</v>
      </c>
      <c r="F51" t="s">
        <v>246</v>
      </c>
      <c r="G51" t="s">
        <v>310</v>
      </c>
      <c r="H51">
        <v>0.33546325878594241</v>
      </c>
      <c r="J51" t="s">
        <v>277</v>
      </c>
      <c r="K51" t="s">
        <v>310</v>
      </c>
      <c r="L51">
        <v>0.68240901213171579</v>
      </c>
    </row>
    <row r="52" spans="1:12" hidden="1" x14ac:dyDescent="0.25">
      <c r="A52" t="s">
        <v>287</v>
      </c>
      <c r="B52">
        <v>0.40613718411552346</v>
      </c>
      <c r="C52">
        <f t="shared" si="1"/>
        <v>0.40613718411552346</v>
      </c>
      <c r="F52" t="s">
        <v>210</v>
      </c>
      <c r="G52" t="s">
        <v>309</v>
      </c>
      <c r="H52">
        <v>2.8225806451612905</v>
      </c>
      <c r="J52" t="s">
        <v>279</v>
      </c>
      <c r="K52" t="s">
        <v>310</v>
      </c>
      <c r="L52">
        <v>0.68240901213171579</v>
      </c>
    </row>
    <row r="53" spans="1:12" hidden="1" x14ac:dyDescent="0.25">
      <c r="A53" t="s">
        <v>265</v>
      </c>
      <c r="B53">
        <v>0.44642857142857145</v>
      </c>
      <c r="C53">
        <f t="shared" si="1"/>
        <v>0.44642857142857145</v>
      </c>
      <c r="F53" t="s">
        <v>211</v>
      </c>
      <c r="G53" t="s">
        <v>309</v>
      </c>
      <c r="H53">
        <v>2.8225806451612905</v>
      </c>
      <c r="J53" t="s">
        <v>222</v>
      </c>
      <c r="K53" t="s">
        <v>310</v>
      </c>
      <c r="L53">
        <v>0.76605058365758749</v>
      </c>
    </row>
    <row r="54" spans="1:12" hidden="1" x14ac:dyDescent="0.25">
      <c r="A54" t="s">
        <v>197</v>
      </c>
      <c r="B54">
        <v>0.45801526717557245</v>
      </c>
      <c r="C54">
        <f t="shared" si="1"/>
        <v>0.45801526717557245</v>
      </c>
      <c r="F54" t="s">
        <v>212</v>
      </c>
      <c r="G54" t="s">
        <v>309</v>
      </c>
      <c r="H54">
        <v>2.8225806451612905</v>
      </c>
      <c r="J54" t="s">
        <v>208</v>
      </c>
      <c r="K54" t="s">
        <v>310</v>
      </c>
      <c r="L54">
        <v>1.2422360248447206</v>
      </c>
    </row>
    <row r="55" spans="1:12" hidden="1" x14ac:dyDescent="0.25">
      <c r="A55" t="s">
        <v>191</v>
      </c>
      <c r="B55">
        <v>0.46902918403811789</v>
      </c>
      <c r="C55">
        <f t="shared" si="1"/>
        <v>0.46902918403811789</v>
      </c>
      <c r="F55" t="s">
        <v>213</v>
      </c>
      <c r="G55" t="s">
        <v>309</v>
      </c>
      <c r="H55">
        <v>2.8225806451612905</v>
      </c>
      <c r="J55" t="s">
        <v>302</v>
      </c>
      <c r="K55" t="s">
        <v>310</v>
      </c>
      <c r="L55">
        <v>1.9830028328611899</v>
      </c>
    </row>
    <row r="56" spans="1:12" x14ac:dyDescent="0.25">
      <c r="A56" t="s">
        <v>274</v>
      </c>
      <c r="B56">
        <v>0.48833423765599565</v>
      </c>
      <c r="C56">
        <f t="shared" si="1"/>
        <v>0.48833423765599565</v>
      </c>
      <c r="F56" t="s">
        <v>229</v>
      </c>
      <c r="G56" t="s">
        <v>310</v>
      </c>
      <c r="H56">
        <v>0.34807399058542732</v>
      </c>
      <c r="J56" t="s">
        <v>183</v>
      </c>
      <c r="K56" t="s">
        <v>310</v>
      </c>
      <c r="L56">
        <v>2.107856556255133</v>
      </c>
    </row>
    <row r="57" spans="1:12" x14ac:dyDescent="0.25">
      <c r="A57" t="s">
        <v>292</v>
      </c>
      <c r="B57">
        <v>0.48833423765599565</v>
      </c>
      <c r="C57">
        <f t="shared" si="1"/>
        <v>0.48833423765599565</v>
      </c>
      <c r="F57" t="s">
        <v>305</v>
      </c>
      <c r="G57" t="s">
        <v>310</v>
      </c>
      <c r="H57">
        <v>0.37878787878787878</v>
      </c>
      <c r="J57" t="s">
        <v>164</v>
      </c>
      <c r="K57" t="s">
        <v>310</v>
      </c>
      <c r="L57">
        <v>2.5641025641025639</v>
      </c>
    </row>
    <row r="58" spans="1:12" x14ac:dyDescent="0.25">
      <c r="A58" t="s">
        <v>218</v>
      </c>
      <c r="B58">
        <v>0.49559471365638763</v>
      </c>
      <c r="C58">
        <f t="shared" si="1"/>
        <v>0.49559471365638763</v>
      </c>
      <c r="F58" t="s">
        <v>167</v>
      </c>
      <c r="G58" t="s">
        <v>310</v>
      </c>
      <c r="H58">
        <v>0.38812222769837351</v>
      </c>
      <c r="J58" t="s">
        <v>166</v>
      </c>
      <c r="K58" t="s">
        <v>310</v>
      </c>
      <c r="L58">
        <v>2.8225806451612905</v>
      </c>
    </row>
    <row r="59" spans="1:12" hidden="1" x14ac:dyDescent="0.25">
      <c r="A59" t="s">
        <v>294</v>
      </c>
      <c r="B59">
        <v>0.50452470569392172</v>
      </c>
      <c r="C59">
        <f t="shared" si="1"/>
        <v>0.50452470569392172</v>
      </c>
      <c r="F59" t="s">
        <v>217</v>
      </c>
      <c r="G59" t="s">
        <v>309</v>
      </c>
      <c r="H59">
        <v>4.5602605863192176</v>
      </c>
      <c r="J59" t="s">
        <v>171</v>
      </c>
      <c r="K59" t="s">
        <v>310</v>
      </c>
      <c r="L59">
        <v>2.8225806451612905</v>
      </c>
    </row>
    <row r="60" spans="1:12" x14ac:dyDescent="0.25">
      <c r="A60" t="s">
        <v>288</v>
      </c>
      <c r="B60">
        <v>0.52360372340425521</v>
      </c>
      <c r="C60">
        <f t="shared" si="1"/>
        <v>0.52360372340425521</v>
      </c>
      <c r="F60" t="s">
        <v>214</v>
      </c>
      <c r="G60" t="s">
        <v>310</v>
      </c>
      <c r="H60">
        <v>0.38812222769837351</v>
      </c>
      <c r="J60" t="s">
        <v>173</v>
      </c>
      <c r="K60" t="s">
        <v>310</v>
      </c>
      <c r="L60">
        <v>2.8225806451612905</v>
      </c>
    </row>
    <row r="61" spans="1:12" x14ac:dyDescent="0.25">
      <c r="A61" t="s">
        <v>279</v>
      </c>
      <c r="B61">
        <v>0.5348047538200339</v>
      </c>
      <c r="C61">
        <f t="shared" si="1"/>
        <v>0.5348047538200339</v>
      </c>
      <c r="F61" t="s">
        <v>221</v>
      </c>
      <c r="G61" t="s">
        <v>310</v>
      </c>
      <c r="H61">
        <v>0.38812222769837351</v>
      </c>
      <c r="J61" t="s">
        <v>174</v>
      </c>
      <c r="K61" t="s">
        <v>310</v>
      </c>
      <c r="L61">
        <v>2.8225806451612905</v>
      </c>
    </row>
    <row r="62" spans="1:12" hidden="1" x14ac:dyDescent="0.25">
      <c r="A62" t="s">
        <v>174</v>
      </c>
      <c r="B62">
        <v>0.57222787385554408</v>
      </c>
      <c r="C62">
        <f t="shared" si="1"/>
        <v>0.57222787385554408</v>
      </c>
      <c r="F62" t="s">
        <v>220</v>
      </c>
      <c r="G62" t="s">
        <v>309</v>
      </c>
      <c r="H62">
        <v>2.8225806451612905</v>
      </c>
      <c r="J62" t="s">
        <v>182</v>
      </c>
      <c r="K62" t="s">
        <v>310</v>
      </c>
      <c r="L62">
        <v>2.8225806451612905</v>
      </c>
    </row>
    <row r="63" spans="1:12" x14ac:dyDescent="0.25">
      <c r="A63" t="s">
        <v>167</v>
      </c>
      <c r="B63">
        <v>0.59255079006772016</v>
      </c>
      <c r="C63">
        <f t="shared" si="1"/>
        <v>0.59255079006772016</v>
      </c>
      <c r="F63" t="s">
        <v>284</v>
      </c>
      <c r="G63" t="s">
        <v>310</v>
      </c>
      <c r="H63">
        <v>0.389526076606795</v>
      </c>
      <c r="J63" t="s">
        <v>188</v>
      </c>
      <c r="K63" t="s">
        <v>310</v>
      </c>
      <c r="L63">
        <v>2.8225806451612905</v>
      </c>
    </row>
    <row r="64" spans="1:12" x14ac:dyDescent="0.25">
      <c r="A64" t="s">
        <v>195</v>
      </c>
      <c r="B64">
        <v>0.59255079006772016</v>
      </c>
      <c r="C64">
        <f t="shared" si="1"/>
        <v>0.59255079006772016</v>
      </c>
      <c r="F64" t="s">
        <v>236</v>
      </c>
      <c r="G64" t="s">
        <v>310</v>
      </c>
      <c r="H64">
        <v>0.40022639068564037</v>
      </c>
      <c r="J64" t="s">
        <v>191</v>
      </c>
      <c r="K64" t="s">
        <v>310</v>
      </c>
      <c r="L64">
        <v>2.8225806451612905</v>
      </c>
    </row>
    <row r="65" spans="1:12" hidden="1" x14ac:dyDescent="0.25">
      <c r="A65" t="s">
        <v>232</v>
      </c>
      <c r="B65">
        <v>0.59255079006772016</v>
      </c>
      <c r="C65">
        <f t="shared" si="1"/>
        <v>0.59255079006772016</v>
      </c>
      <c r="F65" t="s">
        <v>223</v>
      </c>
      <c r="G65" t="s">
        <v>309</v>
      </c>
      <c r="H65">
        <v>2.8225806451612905</v>
      </c>
      <c r="J65" t="s">
        <v>201</v>
      </c>
      <c r="K65" t="s">
        <v>310</v>
      </c>
      <c r="L65">
        <v>2.8225806451612905</v>
      </c>
    </row>
    <row r="66" spans="1:12" x14ac:dyDescent="0.25">
      <c r="A66" t="s">
        <v>290</v>
      </c>
      <c r="B66">
        <v>0.59255079006772016</v>
      </c>
      <c r="C66">
        <f t="shared" ref="C66:C97" si="2">IFERROR(B66,1)</f>
        <v>0.59255079006772016</v>
      </c>
      <c r="F66" t="s">
        <v>192</v>
      </c>
      <c r="G66" t="s">
        <v>310</v>
      </c>
      <c r="H66">
        <v>0.46902918403811789</v>
      </c>
      <c r="J66" t="s">
        <v>204</v>
      </c>
      <c r="K66" t="s">
        <v>310</v>
      </c>
      <c r="L66">
        <v>2.8225806451612905</v>
      </c>
    </row>
    <row r="67" spans="1:12" hidden="1" x14ac:dyDescent="0.25">
      <c r="A67" t="s">
        <v>276</v>
      </c>
      <c r="B67">
        <v>0.68240901213171579</v>
      </c>
      <c r="C67">
        <f t="shared" si="2"/>
        <v>0.68240901213171579</v>
      </c>
      <c r="F67" t="s">
        <v>225</v>
      </c>
      <c r="G67" t="s">
        <v>309</v>
      </c>
      <c r="H67">
        <v>0.27186225645672857</v>
      </c>
      <c r="J67" t="s">
        <v>216</v>
      </c>
      <c r="K67" t="s">
        <v>310</v>
      </c>
      <c r="L67">
        <v>2.8225806451612905</v>
      </c>
    </row>
    <row r="68" spans="1:12" hidden="1" x14ac:dyDescent="0.25">
      <c r="A68" t="s">
        <v>278</v>
      </c>
      <c r="B68">
        <v>0.68240901213171579</v>
      </c>
      <c r="C68">
        <f t="shared" si="2"/>
        <v>0.68240901213171579</v>
      </c>
      <c r="F68" t="s">
        <v>226</v>
      </c>
      <c r="G68">
        <v>0</v>
      </c>
      <c r="H68">
        <v>2.8225806451612905</v>
      </c>
      <c r="J68" t="s">
        <v>227</v>
      </c>
      <c r="K68" t="s">
        <v>310</v>
      </c>
      <c r="L68">
        <v>2.8225806451612905</v>
      </c>
    </row>
    <row r="69" spans="1:12" x14ac:dyDescent="0.25">
      <c r="A69" t="s">
        <v>305</v>
      </c>
      <c r="B69">
        <v>0.68240901213171579</v>
      </c>
      <c r="C69">
        <f t="shared" si="2"/>
        <v>0.68240901213171579</v>
      </c>
      <c r="F69" t="s">
        <v>275</v>
      </c>
      <c r="G69" t="s">
        <v>310</v>
      </c>
      <c r="H69">
        <v>0.48833423765599565</v>
      </c>
      <c r="J69" t="s">
        <v>228</v>
      </c>
      <c r="K69" t="s">
        <v>310</v>
      </c>
      <c r="L69">
        <v>2.8225806451612905</v>
      </c>
    </row>
    <row r="70" spans="1:12" x14ac:dyDescent="0.25">
      <c r="A70" t="s">
        <v>221</v>
      </c>
      <c r="B70">
        <v>0.76605058365758749</v>
      </c>
      <c r="C70">
        <f t="shared" si="2"/>
        <v>0.76605058365758749</v>
      </c>
      <c r="F70" t="s">
        <v>293</v>
      </c>
      <c r="G70" t="s">
        <v>310</v>
      </c>
      <c r="H70">
        <v>0.48833423765599565</v>
      </c>
      <c r="J70" t="s">
        <v>247</v>
      </c>
      <c r="K70" t="s">
        <v>310</v>
      </c>
      <c r="L70">
        <v>2.8225806451612905</v>
      </c>
    </row>
    <row r="71" spans="1:12" x14ac:dyDescent="0.25">
      <c r="A71" t="s">
        <v>189</v>
      </c>
      <c r="B71">
        <v>0.80645161290322565</v>
      </c>
      <c r="C71">
        <f t="shared" si="2"/>
        <v>0.80645161290322565</v>
      </c>
      <c r="F71" t="s">
        <v>219</v>
      </c>
      <c r="G71" t="s">
        <v>310</v>
      </c>
      <c r="H71">
        <v>0.49559471365638763</v>
      </c>
      <c r="J71" t="s">
        <v>251</v>
      </c>
      <c r="K71" t="s">
        <v>310</v>
      </c>
      <c r="L71">
        <v>2.8225806451612905</v>
      </c>
    </row>
    <row r="72" spans="1:12" hidden="1" x14ac:dyDescent="0.25">
      <c r="A72" t="s">
        <v>269</v>
      </c>
      <c r="B72">
        <v>0.84507042253521114</v>
      </c>
      <c r="C72">
        <f t="shared" si="2"/>
        <v>0.84507042253521114</v>
      </c>
      <c r="F72" t="s">
        <v>230</v>
      </c>
      <c r="G72" t="s">
        <v>309</v>
      </c>
      <c r="H72">
        <v>2.9411764705882355</v>
      </c>
      <c r="J72" t="s">
        <v>255</v>
      </c>
      <c r="K72" t="s">
        <v>310</v>
      </c>
      <c r="L72">
        <v>2.8225806451612905</v>
      </c>
    </row>
    <row r="73" spans="1:12" hidden="1" x14ac:dyDescent="0.25">
      <c r="A73" t="s">
        <v>171</v>
      </c>
      <c r="B73">
        <v>0.86633663366336633</v>
      </c>
      <c r="C73">
        <f t="shared" si="2"/>
        <v>0.86633663366336633</v>
      </c>
      <c r="F73" t="s">
        <v>231</v>
      </c>
      <c r="G73" t="s">
        <v>309</v>
      </c>
      <c r="H73">
        <v>3.6184210526315788</v>
      </c>
      <c r="J73" t="s">
        <v>261</v>
      </c>
      <c r="K73" t="s">
        <v>310</v>
      </c>
      <c r="L73">
        <v>2.8225806451612905</v>
      </c>
    </row>
    <row r="74" spans="1:12" hidden="1" x14ac:dyDescent="0.25">
      <c r="A74" t="s">
        <v>231</v>
      </c>
      <c r="B74">
        <v>0.86633663366336633</v>
      </c>
      <c r="C74">
        <f t="shared" si="2"/>
        <v>0.86633663366336633</v>
      </c>
      <c r="F74" t="s">
        <v>232</v>
      </c>
      <c r="G74" t="s">
        <v>309</v>
      </c>
      <c r="H74">
        <v>0.86633663366336633</v>
      </c>
      <c r="J74" t="s">
        <v>273</v>
      </c>
      <c r="K74" t="s">
        <v>310</v>
      </c>
      <c r="L74">
        <v>2.8225806451612905</v>
      </c>
    </row>
    <row r="75" spans="1:12" x14ac:dyDescent="0.25">
      <c r="A75" t="s">
        <v>239</v>
      </c>
      <c r="B75" t="e">
        <v>#DIV/0!</v>
      </c>
      <c r="C75">
        <f t="shared" si="2"/>
        <v>1</v>
      </c>
      <c r="F75" t="s">
        <v>289</v>
      </c>
      <c r="G75" t="s">
        <v>310</v>
      </c>
      <c r="H75">
        <v>0.52360372340425521</v>
      </c>
      <c r="J75" t="s">
        <v>281</v>
      </c>
      <c r="K75" t="s">
        <v>310</v>
      </c>
      <c r="L75">
        <v>2.8225806451612905</v>
      </c>
    </row>
    <row r="76" spans="1:12" hidden="1" x14ac:dyDescent="0.25">
      <c r="A76" t="s">
        <v>255</v>
      </c>
      <c r="B76" t="e">
        <v>#DIV/0!</v>
      </c>
      <c r="C76">
        <f t="shared" si="2"/>
        <v>1</v>
      </c>
      <c r="F76" t="s">
        <v>234</v>
      </c>
      <c r="G76">
        <v>0</v>
      </c>
      <c r="H76">
        <v>2.8225806451612905</v>
      </c>
      <c r="J76" t="s">
        <v>179</v>
      </c>
      <c r="K76" t="s">
        <v>310</v>
      </c>
      <c r="L76">
        <v>2.9411764705882355</v>
      </c>
    </row>
    <row r="77" spans="1:12" x14ac:dyDescent="0.25">
      <c r="A77" t="s">
        <v>286</v>
      </c>
      <c r="B77" t="e">
        <v>#VALUE!</v>
      </c>
      <c r="C77">
        <f t="shared" si="2"/>
        <v>1</v>
      </c>
      <c r="F77" t="s">
        <v>280</v>
      </c>
      <c r="G77" t="s">
        <v>310</v>
      </c>
      <c r="H77">
        <v>0.5348047538200339</v>
      </c>
      <c r="J77" t="s">
        <v>218</v>
      </c>
      <c r="K77" t="s">
        <v>310</v>
      </c>
      <c r="L77">
        <v>3.1818181818181812</v>
      </c>
    </row>
    <row r="78" spans="1:12" x14ac:dyDescent="0.25">
      <c r="A78" t="s">
        <v>241</v>
      </c>
      <c r="B78">
        <v>1.1209043878137572</v>
      </c>
      <c r="C78">
        <f t="shared" si="2"/>
        <v>1.1209043878137572</v>
      </c>
      <c r="F78" t="s">
        <v>175</v>
      </c>
      <c r="G78" t="s">
        <v>310</v>
      </c>
      <c r="H78">
        <v>0.57222787385554408</v>
      </c>
      <c r="J78" t="s">
        <v>224</v>
      </c>
      <c r="K78" t="s">
        <v>310</v>
      </c>
      <c r="L78">
        <v>3.5031847133757963</v>
      </c>
    </row>
    <row r="79" spans="1:12" hidden="1" x14ac:dyDescent="0.25">
      <c r="A79" t="s">
        <v>207</v>
      </c>
      <c r="B79">
        <v>1.2422360248447206</v>
      </c>
      <c r="C79">
        <f t="shared" si="2"/>
        <v>1.2422360248447206</v>
      </c>
      <c r="F79" t="s">
        <v>237</v>
      </c>
      <c r="G79" t="s">
        <v>309</v>
      </c>
      <c r="H79">
        <v>0.38812222769837351</v>
      </c>
      <c r="J79" t="s">
        <v>193</v>
      </c>
      <c r="K79" t="s">
        <v>310</v>
      </c>
      <c r="L79">
        <v>3.645833333333333</v>
      </c>
    </row>
    <row r="80" spans="1:12" hidden="1" x14ac:dyDescent="0.25">
      <c r="A80" t="s">
        <v>301</v>
      </c>
      <c r="B80">
        <v>1.9830028328611899</v>
      </c>
      <c r="C80">
        <f t="shared" si="2"/>
        <v>1.9830028328611899</v>
      </c>
      <c r="F80" t="s">
        <v>238</v>
      </c>
      <c r="G80" t="s">
        <v>309</v>
      </c>
      <c r="H80">
        <v>2.8225806451612905</v>
      </c>
      <c r="J80" t="s">
        <v>186</v>
      </c>
      <c r="K80" t="s">
        <v>310</v>
      </c>
      <c r="L80">
        <v>3.723404255319148</v>
      </c>
    </row>
    <row r="81" spans="1:12" hidden="1" x14ac:dyDescent="0.25">
      <c r="A81" t="s">
        <v>182</v>
      </c>
      <c r="B81">
        <v>2.107856556255133</v>
      </c>
      <c r="C81">
        <f t="shared" si="2"/>
        <v>2.107856556255133</v>
      </c>
      <c r="F81" t="s">
        <v>239</v>
      </c>
      <c r="G81" t="s">
        <v>309</v>
      </c>
      <c r="H81">
        <v>0.3934241955880286</v>
      </c>
      <c r="J81" t="s">
        <v>194</v>
      </c>
      <c r="K81" t="s">
        <v>310</v>
      </c>
      <c r="L81">
        <v>3.723404255319148</v>
      </c>
    </row>
    <row r="82" spans="1:12" hidden="1" x14ac:dyDescent="0.25">
      <c r="A82" t="s">
        <v>163</v>
      </c>
      <c r="B82">
        <v>2.5641025641025639</v>
      </c>
      <c r="C82">
        <f t="shared" si="2"/>
        <v>2.5641025641025639</v>
      </c>
      <c r="F82" t="s">
        <v>240</v>
      </c>
      <c r="G82" t="s">
        <v>309</v>
      </c>
      <c r="H82" t="e">
        <v>#DIV/0!</v>
      </c>
      <c r="J82" t="s">
        <v>285</v>
      </c>
      <c r="K82" t="s">
        <v>310</v>
      </c>
      <c r="L82">
        <v>3.9325842696629216</v>
      </c>
    </row>
    <row r="83" spans="1:12" hidden="1" x14ac:dyDescent="0.25">
      <c r="A83" t="s">
        <v>263</v>
      </c>
      <c r="B83">
        <v>2.6086956521739131</v>
      </c>
      <c r="C83">
        <f t="shared" si="2"/>
        <v>2.6086956521739131</v>
      </c>
      <c r="F83" t="s">
        <v>241</v>
      </c>
      <c r="G83" t="s">
        <v>309</v>
      </c>
      <c r="H83">
        <v>0.389526076606795</v>
      </c>
      <c r="J83" t="s">
        <v>176</v>
      </c>
      <c r="K83" t="s">
        <v>310</v>
      </c>
      <c r="L83">
        <v>4.0935672514619883</v>
      </c>
    </row>
    <row r="84" spans="1:12" hidden="1" x14ac:dyDescent="0.25">
      <c r="A84" t="s">
        <v>160</v>
      </c>
      <c r="B84">
        <v>2.8225806451612905</v>
      </c>
      <c r="C84">
        <f t="shared" si="2"/>
        <v>2.8225806451612905</v>
      </c>
      <c r="D84">
        <f>AVERAGE(C84:C229)</f>
        <v>3.1295163313357044</v>
      </c>
      <c r="F84" t="s">
        <v>242</v>
      </c>
      <c r="G84" t="s">
        <v>309</v>
      </c>
      <c r="H84">
        <v>1.1209043878137572</v>
      </c>
      <c r="J84" t="s">
        <v>304</v>
      </c>
      <c r="K84" t="s">
        <v>310</v>
      </c>
      <c r="L84">
        <v>4.166666666666667</v>
      </c>
    </row>
    <row r="85" spans="1:12" x14ac:dyDescent="0.25">
      <c r="A85" t="s">
        <v>161</v>
      </c>
      <c r="B85">
        <v>2.8225806451612905</v>
      </c>
      <c r="C85">
        <f t="shared" si="2"/>
        <v>2.8225806451612905</v>
      </c>
      <c r="F85" t="s">
        <v>168</v>
      </c>
      <c r="G85" t="s">
        <v>310</v>
      </c>
      <c r="H85">
        <v>0.59255079006772016</v>
      </c>
      <c r="J85" t="s">
        <v>184</v>
      </c>
      <c r="K85" t="s">
        <v>310</v>
      </c>
      <c r="L85">
        <v>4.2682926829268286</v>
      </c>
    </row>
    <row r="86" spans="1:12" x14ac:dyDescent="0.25">
      <c r="A86" t="s">
        <v>165</v>
      </c>
      <c r="B86">
        <v>2.8225806451612905</v>
      </c>
      <c r="C86">
        <f t="shared" si="2"/>
        <v>2.8225806451612905</v>
      </c>
      <c r="F86" t="s">
        <v>233</v>
      </c>
      <c r="G86" t="s">
        <v>310</v>
      </c>
      <c r="H86">
        <v>0.59255079006772016</v>
      </c>
      <c r="J86" t="s">
        <v>282</v>
      </c>
      <c r="K86" t="s">
        <v>310</v>
      </c>
      <c r="L86">
        <v>7.1428571428571423</v>
      </c>
    </row>
    <row r="87" spans="1:12" hidden="1" x14ac:dyDescent="0.25">
      <c r="A87" t="s">
        <v>170</v>
      </c>
      <c r="B87">
        <v>2.8225806451612905</v>
      </c>
      <c r="C87">
        <f t="shared" si="2"/>
        <v>2.8225806451612905</v>
      </c>
      <c r="F87" t="s">
        <v>245</v>
      </c>
      <c r="G87" t="s">
        <v>309</v>
      </c>
      <c r="H87">
        <v>2.8225806451612905</v>
      </c>
      <c r="J87" t="s">
        <v>256</v>
      </c>
      <c r="K87" t="s">
        <v>310</v>
      </c>
      <c r="L87">
        <v>1</v>
      </c>
    </row>
    <row r="88" spans="1:12" x14ac:dyDescent="0.25">
      <c r="A88" t="s">
        <v>172</v>
      </c>
      <c r="B88">
        <v>2.8225806451612905</v>
      </c>
      <c r="C88">
        <f t="shared" si="2"/>
        <v>2.8225806451612905</v>
      </c>
      <c r="F88" t="s">
        <v>291</v>
      </c>
      <c r="G88" t="s">
        <v>310</v>
      </c>
      <c r="H88">
        <v>0.59255079006772016</v>
      </c>
    </row>
    <row r="89" spans="1:12" x14ac:dyDescent="0.25">
      <c r="A89" t="s">
        <v>173</v>
      </c>
      <c r="B89">
        <v>2.8225806451612905</v>
      </c>
      <c r="C89">
        <f t="shared" si="2"/>
        <v>2.8225806451612905</v>
      </c>
      <c r="F89" t="s">
        <v>277</v>
      </c>
      <c r="G89" t="s">
        <v>310</v>
      </c>
      <c r="H89">
        <v>0.68240901213171579</v>
      </c>
    </row>
    <row r="90" spans="1:12" x14ac:dyDescent="0.25">
      <c r="A90" t="s">
        <v>179</v>
      </c>
      <c r="B90">
        <v>2.8225806451612905</v>
      </c>
      <c r="C90">
        <f t="shared" si="2"/>
        <v>2.8225806451612905</v>
      </c>
      <c r="F90" t="s">
        <v>279</v>
      </c>
      <c r="G90" t="s">
        <v>310</v>
      </c>
      <c r="H90">
        <v>0.68240901213171579</v>
      </c>
    </row>
    <row r="91" spans="1:12" x14ac:dyDescent="0.25">
      <c r="A91" t="s">
        <v>181</v>
      </c>
      <c r="B91">
        <v>2.8225806451612905</v>
      </c>
      <c r="C91">
        <f t="shared" si="2"/>
        <v>2.8225806451612905</v>
      </c>
      <c r="F91" t="s">
        <v>222</v>
      </c>
      <c r="G91" t="s">
        <v>310</v>
      </c>
      <c r="H91">
        <v>0.76605058365758749</v>
      </c>
    </row>
    <row r="92" spans="1:12" hidden="1" x14ac:dyDescent="0.25">
      <c r="A92" t="s">
        <v>187</v>
      </c>
      <c r="B92">
        <v>2.8225806451612905</v>
      </c>
      <c r="C92">
        <f t="shared" si="2"/>
        <v>2.8225806451612905</v>
      </c>
      <c r="F92" t="s">
        <v>250</v>
      </c>
      <c r="G92" t="s">
        <v>309</v>
      </c>
      <c r="H92">
        <v>2.8225806451612905</v>
      </c>
    </row>
    <row r="93" spans="1:12" x14ac:dyDescent="0.25">
      <c r="A93" t="s">
        <v>190</v>
      </c>
      <c r="B93">
        <v>2.8225806451612905</v>
      </c>
      <c r="C93">
        <f t="shared" si="2"/>
        <v>2.8225806451612905</v>
      </c>
      <c r="F93" t="s">
        <v>208</v>
      </c>
      <c r="G93" t="s">
        <v>310</v>
      </c>
      <c r="H93">
        <v>1.2422360248447206</v>
      </c>
    </row>
    <row r="94" spans="1:12" hidden="1" x14ac:dyDescent="0.25">
      <c r="A94" t="s">
        <v>194</v>
      </c>
      <c r="B94">
        <v>2.8225806451612905</v>
      </c>
      <c r="C94">
        <f t="shared" si="2"/>
        <v>2.8225806451612905</v>
      </c>
      <c r="F94" t="s">
        <v>252</v>
      </c>
      <c r="G94">
        <v>0</v>
      </c>
      <c r="H94">
        <v>2.8225806451612905</v>
      </c>
    </row>
    <row r="95" spans="1:12" x14ac:dyDescent="0.25">
      <c r="A95" t="s">
        <v>196</v>
      </c>
      <c r="B95">
        <v>2.8225806451612905</v>
      </c>
      <c r="C95">
        <f t="shared" si="2"/>
        <v>2.8225806451612905</v>
      </c>
      <c r="F95" t="s">
        <v>302</v>
      </c>
      <c r="G95" t="s">
        <v>310</v>
      </c>
      <c r="H95">
        <v>1.9830028328611899</v>
      </c>
    </row>
    <row r="96" spans="1:12" hidden="1" x14ac:dyDescent="0.25">
      <c r="A96" t="s">
        <v>198</v>
      </c>
      <c r="B96">
        <v>2.8225806451612905</v>
      </c>
      <c r="C96">
        <f t="shared" si="2"/>
        <v>2.8225806451612905</v>
      </c>
      <c r="F96" t="s">
        <v>254</v>
      </c>
      <c r="G96" t="s">
        <v>309</v>
      </c>
      <c r="H96">
        <v>2.8985507246376816</v>
      </c>
    </row>
    <row r="97" spans="1:8" x14ac:dyDescent="0.25">
      <c r="A97" t="s">
        <v>200</v>
      </c>
      <c r="B97">
        <v>2.8225806451612905</v>
      </c>
      <c r="C97">
        <f t="shared" si="2"/>
        <v>2.8225806451612905</v>
      </c>
      <c r="F97" t="s">
        <v>183</v>
      </c>
      <c r="G97" t="s">
        <v>310</v>
      </c>
      <c r="H97">
        <v>2.107856556255133</v>
      </c>
    </row>
    <row r="98" spans="1:8" x14ac:dyDescent="0.25">
      <c r="A98" t="s">
        <v>202</v>
      </c>
      <c r="B98">
        <v>2.8225806451612905</v>
      </c>
      <c r="C98">
        <f t="shared" ref="C98:C129" si="3">IFERROR(B98,1)</f>
        <v>2.8225806451612905</v>
      </c>
      <c r="F98" t="s">
        <v>164</v>
      </c>
      <c r="G98" t="s">
        <v>310</v>
      </c>
      <c r="H98">
        <v>2.5641025641025639</v>
      </c>
    </row>
    <row r="99" spans="1:8" hidden="1" x14ac:dyDescent="0.25">
      <c r="A99" t="s">
        <v>203</v>
      </c>
      <c r="B99">
        <v>2.8225806451612905</v>
      </c>
      <c r="C99">
        <f t="shared" si="3"/>
        <v>2.8225806451612905</v>
      </c>
      <c r="F99" t="s">
        <v>257</v>
      </c>
      <c r="G99" t="s">
        <v>309</v>
      </c>
      <c r="H99">
        <v>2.8225806451612905</v>
      </c>
    </row>
    <row r="100" spans="1:8" x14ac:dyDescent="0.25">
      <c r="A100" t="s">
        <v>205</v>
      </c>
      <c r="B100">
        <v>2.8225806451612905</v>
      </c>
      <c r="C100">
        <f t="shared" si="3"/>
        <v>2.8225806451612905</v>
      </c>
      <c r="F100" t="s">
        <v>166</v>
      </c>
      <c r="G100" t="s">
        <v>310</v>
      </c>
      <c r="H100">
        <v>2.8225806451612905</v>
      </c>
    </row>
    <row r="101" spans="1:8" x14ac:dyDescent="0.25">
      <c r="A101" t="s">
        <v>209</v>
      </c>
      <c r="B101">
        <v>2.8225806451612905</v>
      </c>
      <c r="C101">
        <f t="shared" si="3"/>
        <v>2.8225806451612905</v>
      </c>
      <c r="F101" t="s">
        <v>171</v>
      </c>
      <c r="G101" t="s">
        <v>310</v>
      </c>
      <c r="H101">
        <v>2.8225806451612905</v>
      </c>
    </row>
    <row r="102" spans="1:8" x14ac:dyDescent="0.25">
      <c r="A102" t="s">
        <v>210</v>
      </c>
      <c r="B102">
        <v>2.8225806451612905</v>
      </c>
      <c r="C102">
        <f t="shared" si="3"/>
        <v>2.8225806451612905</v>
      </c>
      <c r="F102" t="s">
        <v>173</v>
      </c>
      <c r="G102" t="s">
        <v>310</v>
      </c>
      <c r="H102">
        <v>2.8225806451612905</v>
      </c>
    </row>
    <row r="103" spans="1:8" x14ac:dyDescent="0.25">
      <c r="A103" t="s">
        <v>211</v>
      </c>
      <c r="B103">
        <v>2.8225806451612905</v>
      </c>
      <c r="C103">
        <f t="shared" si="3"/>
        <v>2.8225806451612905</v>
      </c>
      <c r="F103" t="s">
        <v>174</v>
      </c>
      <c r="G103" t="s">
        <v>310</v>
      </c>
      <c r="H103">
        <v>2.8225806451612905</v>
      </c>
    </row>
    <row r="104" spans="1:8" x14ac:dyDescent="0.25">
      <c r="A104" t="s">
        <v>212</v>
      </c>
      <c r="B104">
        <v>2.8225806451612905</v>
      </c>
      <c r="C104">
        <f t="shared" si="3"/>
        <v>2.8225806451612905</v>
      </c>
      <c r="F104" t="s">
        <v>182</v>
      </c>
      <c r="G104" t="s">
        <v>310</v>
      </c>
      <c r="H104">
        <v>2.8225806451612905</v>
      </c>
    </row>
    <row r="105" spans="1:8" x14ac:dyDescent="0.25">
      <c r="A105" t="s">
        <v>215</v>
      </c>
      <c r="B105">
        <v>2.8225806451612905</v>
      </c>
      <c r="C105">
        <f t="shared" si="3"/>
        <v>2.8225806451612905</v>
      </c>
      <c r="F105" t="s">
        <v>188</v>
      </c>
      <c r="G105" t="s">
        <v>310</v>
      </c>
      <c r="H105">
        <v>2.8225806451612905</v>
      </c>
    </row>
    <row r="106" spans="1:8" hidden="1" x14ac:dyDescent="0.25">
      <c r="A106" t="s">
        <v>219</v>
      </c>
      <c r="B106">
        <v>2.8225806451612905</v>
      </c>
      <c r="C106">
        <f t="shared" si="3"/>
        <v>2.8225806451612905</v>
      </c>
      <c r="F106" t="s">
        <v>264</v>
      </c>
      <c r="G106" t="s">
        <v>309</v>
      </c>
      <c r="H106">
        <v>2.6086956521739131</v>
      </c>
    </row>
    <row r="107" spans="1:8" hidden="1" x14ac:dyDescent="0.25">
      <c r="A107" t="s">
        <v>222</v>
      </c>
      <c r="B107">
        <v>2.8225806451612905</v>
      </c>
      <c r="C107">
        <f t="shared" si="3"/>
        <v>2.8225806451612905</v>
      </c>
      <c r="F107" t="s">
        <v>265</v>
      </c>
      <c r="G107" t="s">
        <v>309</v>
      </c>
      <c r="H107">
        <v>0.38812222769837351</v>
      </c>
    </row>
    <row r="108" spans="1:8" hidden="1" x14ac:dyDescent="0.25">
      <c r="A108" t="s">
        <v>225</v>
      </c>
      <c r="B108">
        <v>2.8225806451612905</v>
      </c>
      <c r="C108">
        <f t="shared" si="3"/>
        <v>2.8225806451612905</v>
      </c>
      <c r="F108" t="s">
        <v>266</v>
      </c>
      <c r="G108" t="s">
        <v>309</v>
      </c>
      <c r="H108">
        <v>0.44642857142857145</v>
      </c>
    </row>
    <row r="109" spans="1:8" x14ac:dyDescent="0.25">
      <c r="A109" t="s">
        <v>226</v>
      </c>
      <c r="B109">
        <v>2.8225806451612905</v>
      </c>
      <c r="C109">
        <f t="shared" si="3"/>
        <v>2.8225806451612905</v>
      </c>
      <c r="F109" t="s">
        <v>191</v>
      </c>
      <c r="G109" t="s">
        <v>310</v>
      </c>
      <c r="H109">
        <v>2.8225806451612905</v>
      </c>
    </row>
    <row r="110" spans="1:8" hidden="1" x14ac:dyDescent="0.25">
      <c r="A110" t="s">
        <v>227</v>
      </c>
      <c r="B110">
        <v>2.8225806451612905</v>
      </c>
      <c r="C110">
        <f t="shared" si="3"/>
        <v>2.8225806451612905</v>
      </c>
      <c r="F110" t="s">
        <v>268</v>
      </c>
      <c r="G110">
        <v>0</v>
      </c>
      <c r="H110">
        <v>2.8225806451612905</v>
      </c>
    </row>
    <row r="111" spans="1:8" x14ac:dyDescent="0.25">
      <c r="A111" t="s">
        <v>233</v>
      </c>
      <c r="B111">
        <v>2.8225806451612905</v>
      </c>
      <c r="C111">
        <f t="shared" si="3"/>
        <v>2.8225806451612905</v>
      </c>
      <c r="F111" t="s">
        <v>201</v>
      </c>
      <c r="G111" t="s">
        <v>310</v>
      </c>
      <c r="H111">
        <v>2.8225806451612905</v>
      </c>
    </row>
    <row r="112" spans="1:8" hidden="1" x14ac:dyDescent="0.25">
      <c r="A112" t="s">
        <v>237</v>
      </c>
      <c r="B112">
        <v>2.8225806451612905</v>
      </c>
      <c r="C112">
        <f t="shared" si="3"/>
        <v>2.8225806451612905</v>
      </c>
      <c r="F112" t="s">
        <v>270</v>
      </c>
      <c r="G112" t="s">
        <v>309</v>
      </c>
      <c r="H112">
        <v>0.84507042253521114</v>
      </c>
    </row>
    <row r="113" spans="1:8" x14ac:dyDescent="0.25">
      <c r="A113" t="s">
        <v>244</v>
      </c>
      <c r="B113">
        <v>2.8225806451612905</v>
      </c>
      <c r="C113">
        <f t="shared" si="3"/>
        <v>2.8225806451612905</v>
      </c>
      <c r="F113" t="s">
        <v>204</v>
      </c>
      <c r="G113" t="s">
        <v>310</v>
      </c>
      <c r="H113">
        <v>2.8225806451612905</v>
      </c>
    </row>
    <row r="114" spans="1:8" hidden="1" x14ac:dyDescent="0.25">
      <c r="A114" t="s">
        <v>246</v>
      </c>
      <c r="B114">
        <v>2.8225806451612905</v>
      </c>
      <c r="C114">
        <f t="shared" si="3"/>
        <v>2.8225806451612905</v>
      </c>
      <c r="F114" t="s">
        <v>272</v>
      </c>
      <c r="G114" t="s">
        <v>309</v>
      </c>
      <c r="H114">
        <v>3.6184210526315788</v>
      </c>
    </row>
    <row r="115" spans="1:8" x14ac:dyDescent="0.25">
      <c r="A115" t="s">
        <v>249</v>
      </c>
      <c r="B115">
        <v>2.8225806451612905</v>
      </c>
      <c r="C115">
        <f t="shared" si="3"/>
        <v>2.8225806451612905</v>
      </c>
      <c r="F115" t="s">
        <v>216</v>
      </c>
      <c r="G115" t="s">
        <v>310</v>
      </c>
      <c r="H115">
        <v>2.8225806451612905</v>
      </c>
    </row>
    <row r="116" spans="1:8" x14ac:dyDescent="0.25">
      <c r="A116" t="s">
        <v>250</v>
      </c>
      <c r="B116">
        <v>2.8225806451612905</v>
      </c>
      <c r="C116">
        <f t="shared" si="3"/>
        <v>2.8225806451612905</v>
      </c>
      <c r="F116" t="s">
        <v>227</v>
      </c>
      <c r="G116" t="s">
        <v>310</v>
      </c>
      <c r="H116">
        <v>2.8225806451612905</v>
      </c>
    </row>
    <row r="117" spans="1:8" x14ac:dyDescent="0.25">
      <c r="A117" t="s">
        <v>251</v>
      </c>
      <c r="B117">
        <v>2.8225806451612905</v>
      </c>
      <c r="C117">
        <f t="shared" si="3"/>
        <v>2.8225806451612905</v>
      </c>
      <c r="F117" t="s">
        <v>228</v>
      </c>
      <c r="G117" t="s">
        <v>310</v>
      </c>
      <c r="H117">
        <v>2.8225806451612905</v>
      </c>
    </row>
    <row r="118" spans="1:8" x14ac:dyDescent="0.25">
      <c r="A118" t="s">
        <v>254</v>
      </c>
      <c r="B118">
        <v>2.8225806451612905</v>
      </c>
      <c r="C118">
        <f t="shared" si="3"/>
        <v>2.8225806451612905</v>
      </c>
      <c r="F118" t="s">
        <v>247</v>
      </c>
      <c r="G118" t="s">
        <v>310</v>
      </c>
      <c r="H118">
        <v>2.8225806451612905</v>
      </c>
    </row>
    <row r="119" spans="1:8" x14ac:dyDescent="0.25">
      <c r="A119" t="s">
        <v>256</v>
      </c>
      <c r="B119">
        <v>2.8225806451612905</v>
      </c>
      <c r="C119">
        <f t="shared" si="3"/>
        <v>2.8225806451612905</v>
      </c>
      <c r="F119" t="s">
        <v>251</v>
      </c>
      <c r="G119" t="s">
        <v>310</v>
      </c>
      <c r="H119">
        <v>2.8225806451612905</v>
      </c>
    </row>
    <row r="120" spans="1:8" hidden="1" x14ac:dyDescent="0.25">
      <c r="A120" t="s">
        <v>260</v>
      </c>
      <c r="B120">
        <v>2.8225806451612905</v>
      </c>
      <c r="C120">
        <f t="shared" si="3"/>
        <v>2.8225806451612905</v>
      </c>
      <c r="F120" t="s">
        <v>278</v>
      </c>
      <c r="G120">
        <v>0</v>
      </c>
      <c r="H120">
        <v>2.8225806451612905</v>
      </c>
    </row>
    <row r="121" spans="1:8" x14ac:dyDescent="0.25">
      <c r="A121" t="s">
        <v>267</v>
      </c>
      <c r="B121">
        <v>2.8225806451612905</v>
      </c>
      <c r="C121">
        <f t="shared" si="3"/>
        <v>2.8225806451612905</v>
      </c>
      <c r="F121" t="s">
        <v>255</v>
      </c>
      <c r="G121" t="s">
        <v>310</v>
      </c>
      <c r="H121">
        <v>2.8225806451612905</v>
      </c>
    </row>
    <row r="122" spans="1:8" x14ac:dyDescent="0.25">
      <c r="A122" t="s">
        <v>272</v>
      </c>
      <c r="B122">
        <v>2.8225806451612905</v>
      </c>
      <c r="C122">
        <f t="shared" si="3"/>
        <v>2.8225806451612905</v>
      </c>
      <c r="F122" t="s">
        <v>261</v>
      </c>
      <c r="G122" t="s">
        <v>310</v>
      </c>
      <c r="H122">
        <v>2.8225806451612905</v>
      </c>
    </row>
    <row r="123" spans="1:8" x14ac:dyDescent="0.25">
      <c r="A123" t="s">
        <v>277</v>
      </c>
      <c r="B123">
        <v>2.8225806451612905</v>
      </c>
      <c r="C123">
        <f t="shared" si="3"/>
        <v>2.8225806451612905</v>
      </c>
      <c r="F123" t="s">
        <v>273</v>
      </c>
      <c r="G123" t="s">
        <v>310</v>
      </c>
      <c r="H123">
        <v>2.8225806451612905</v>
      </c>
    </row>
    <row r="124" spans="1:8" x14ac:dyDescent="0.25">
      <c r="A124" t="s">
        <v>280</v>
      </c>
      <c r="B124">
        <v>2.8225806451612905</v>
      </c>
      <c r="C124">
        <f t="shared" si="3"/>
        <v>2.8225806451612905</v>
      </c>
      <c r="F124" t="s">
        <v>281</v>
      </c>
      <c r="G124" t="s">
        <v>310</v>
      </c>
      <c r="H124">
        <v>2.8225806451612905</v>
      </c>
    </row>
    <row r="125" spans="1:8" hidden="1" x14ac:dyDescent="0.25">
      <c r="A125" t="s">
        <v>295</v>
      </c>
      <c r="B125">
        <v>2.8225806451612905</v>
      </c>
      <c r="C125">
        <f t="shared" si="3"/>
        <v>2.8225806451612905</v>
      </c>
      <c r="F125" t="s">
        <v>283</v>
      </c>
      <c r="G125" t="s">
        <v>309</v>
      </c>
      <c r="H125">
        <v>0.38812222769837351</v>
      </c>
    </row>
    <row r="126" spans="1:8" x14ac:dyDescent="0.25">
      <c r="A126" t="s">
        <v>298</v>
      </c>
      <c r="B126">
        <v>2.8225806451612905</v>
      </c>
      <c r="C126">
        <f t="shared" si="3"/>
        <v>2.8225806451612905</v>
      </c>
      <c r="F126" t="s">
        <v>179</v>
      </c>
      <c r="G126" t="s">
        <v>310</v>
      </c>
      <c r="H126">
        <v>2.9411764705882355</v>
      </c>
    </row>
    <row r="127" spans="1:8" x14ac:dyDescent="0.25">
      <c r="A127" t="s">
        <v>299</v>
      </c>
      <c r="B127">
        <v>2.8225806451612905</v>
      </c>
      <c r="C127">
        <f t="shared" si="3"/>
        <v>2.8225806451612905</v>
      </c>
      <c r="F127" t="s">
        <v>218</v>
      </c>
      <c r="G127" t="s">
        <v>310</v>
      </c>
      <c r="H127">
        <v>3.1818181818181812</v>
      </c>
    </row>
    <row r="128" spans="1:8" hidden="1" x14ac:dyDescent="0.25">
      <c r="A128" t="s">
        <v>253</v>
      </c>
      <c r="B128">
        <v>2.8985507246376816</v>
      </c>
      <c r="C128">
        <f t="shared" si="3"/>
        <v>2.8985507246376816</v>
      </c>
      <c r="F128" t="s">
        <v>286</v>
      </c>
      <c r="G128">
        <v>0</v>
      </c>
      <c r="H128">
        <v>3.5294117647058818</v>
      </c>
    </row>
    <row r="129" spans="1:8" hidden="1" x14ac:dyDescent="0.25">
      <c r="A129" t="s">
        <v>178</v>
      </c>
      <c r="B129">
        <v>2.9411764705882355</v>
      </c>
      <c r="C129">
        <f t="shared" si="3"/>
        <v>2.9411764705882355</v>
      </c>
      <c r="F129" t="s">
        <v>287</v>
      </c>
      <c r="G129" t="s">
        <v>309</v>
      </c>
      <c r="H129" t="e">
        <v>#VALUE!</v>
      </c>
    </row>
    <row r="130" spans="1:8" hidden="1" x14ac:dyDescent="0.25">
      <c r="A130" t="s">
        <v>229</v>
      </c>
      <c r="B130">
        <v>2.9411764705882355</v>
      </c>
      <c r="C130">
        <f t="shared" ref="C130:C147" si="4">IFERROR(B130,1)</f>
        <v>2.9411764705882355</v>
      </c>
      <c r="F130" t="s">
        <v>288</v>
      </c>
      <c r="G130" t="s">
        <v>309</v>
      </c>
      <c r="H130">
        <v>0.40613718411552346</v>
      </c>
    </row>
    <row r="131" spans="1:8" x14ac:dyDescent="0.25">
      <c r="A131" t="s">
        <v>199</v>
      </c>
      <c r="B131">
        <v>3.1818181818181812</v>
      </c>
      <c r="C131">
        <f t="shared" si="4"/>
        <v>3.1818181818181812</v>
      </c>
      <c r="F131" t="s">
        <v>224</v>
      </c>
      <c r="G131" t="s">
        <v>310</v>
      </c>
      <c r="H131">
        <v>3.5031847133757963</v>
      </c>
    </row>
    <row r="132" spans="1:8" x14ac:dyDescent="0.25">
      <c r="A132" t="s">
        <v>217</v>
      </c>
      <c r="B132">
        <v>3.1818181818181812</v>
      </c>
      <c r="C132">
        <f t="shared" si="4"/>
        <v>3.1818181818181812</v>
      </c>
      <c r="F132" t="s">
        <v>193</v>
      </c>
      <c r="G132" t="s">
        <v>310</v>
      </c>
      <c r="H132">
        <v>3.645833333333333</v>
      </c>
    </row>
    <row r="133" spans="1:8" x14ac:dyDescent="0.25">
      <c r="A133" t="s">
        <v>162</v>
      </c>
      <c r="B133">
        <v>3.4920634920634921</v>
      </c>
      <c r="C133">
        <f t="shared" si="4"/>
        <v>3.4920634920634921</v>
      </c>
      <c r="F133" t="s">
        <v>186</v>
      </c>
      <c r="G133" t="s">
        <v>310</v>
      </c>
      <c r="H133">
        <v>3.723404255319148</v>
      </c>
    </row>
    <row r="134" spans="1:8" x14ac:dyDescent="0.25">
      <c r="A134" t="s">
        <v>223</v>
      </c>
      <c r="B134">
        <v>3.5031847133757963</v>
      </c>
      <c r="C134">
        <f t="shared" si="4"/>
        <v>3.5031847133757963</v>
      </c>
      <c r="F134" t="s">
        <v>194</v>
      </c>
      <c r="G134" t="s">
        <v>310</v>
      </c>
      <c r="H134">
        <v>3.723404255319148</v>
      </c>
    </row>
    <row r="135" spans="1:8" x14ac:dyDescent="0.25">
      <c r="A135" t="s">
        <v>285</v>
      </c>
      <c r="B135">
        <v>3.5294117647058818</v>
      </c>
      <c r="C135">
        <f t="shared" si="4"/>
        <v>3.5294117647058818</v>
      </c>
      <c r="F135" t="s">
        <v>285</v>
      </c>
      <c r="G135" t="s">
        <v>310</v>
      </c>
      <c r="H135">
        <v>3.9325842696629216</v>
      </c>
    </row>
    <row r="136" spans="1:8" x14ac:dyDescent="0.25">
      <c r="A136" t="s">
        <v>230</v>
      </c>
      <c r="B136">
        <v>3.6184210526315788</v>
      </c>
      <c r="C136">
        <f t="shared" si="4"/>
        <v>3.6184210526315788</v>
      </c>
      <c r="F136" t="s">
        <v>176</v>
      </c>
      <c r="G136" t="s">
        <v>310</v>
      </c>
      <c r="H136">
        <v>4.0935672514619883</v>
      </c>
    </row>
    <row r="137" spans="1:8" hidden="1" x14ac:dyDescent="0.25">
      <c r="A137" t="s">
        <v>271</v>
      </c>
      <c r="B137">
        <v>3.6184210526315788</v>
      </c>
      <c r="C137">
        <f t="shared" si="4"/>
        <v>3.6184210526315788</v>
      </c>
      <c r="F137" t="s">
        <v>295</v>
      </c>
      <c r="G137" t="s">
        <v>309</v>
      </c>
      <c r="H137">
        <v>0.50452470569392172</v>
      </c>
    </row>
    <row r="138" spans="1:8" hidden="1" x14ac:dyDescent="0.25">
      <c r="A138" t="s">
        <v>192</v>
      </c>
      <c r="B138">
        <v>3.645833333333333</v>
      </c>
      <c r="C138">
        <f t="shared" si="4"/>
        <v>3.645833333333333</v>
      </c>
      <c r="F138" t="s">
        <v>296</v>
      </c>
      <c r="G138">
        <v>0</v>
      </c>
      <c r="H138">
        <v>2.8225806451612905</v>
      </c>
    </row>
    <row r="139" spans="1:8" hidden="1" x14ac:dyDescent="0.25">
      <c r="A139" t="s">
        <v>185</v>
      </c>
      <c r="B139">
        <v>3.723404255319148</v>
      </c>
      <c r="C139">
        <f t="shared" si="4"/>
        <v>3.723404255319148</v>
      </c>
      <c r="F139" t="s">
        <v>297</v>
      </c>
      <c r="G139" t="s">
        <v>309</v>
      </c>
      <c r="H139">
        <v>0.27117768595041319</v>
      </c>
    </row>
    <row r="140" spans="1:8" x14ac:dyDescent="0.25">
      <c r="A140" t="s">
        <v>193</v>
      </c>
      <c r="B140">
        <v>3.723404255319148</v>
      </c>
      <c r="C140">
        <f t="shared" si="4"/>
        <v>3.723404255319148</v>
      </c>
      <c r="F140" t="s">
        <v>304</v>
      </c>
      <c r="G140" t="s">
        <v>310</v>
      </c>
      <c r="H140">
        <v>4.166666666666667</v>
      </c>
    </row>
    <row r="141" spans="1:8" hidden="1" x14ac:dyDescent="0.25">
      <c r="A141" t="s">
        <v>204</v>
      </c>
      <c r="B141">
        <v>3.9325842696629216</v>
      </c>
      <c r="C141">
        <f t="shared" si="4"/>
        <v>3.9325842696629216</v>
      </c>
      <c r="F141" t="s">
        <v>299</v>
      </c>
      <c r="G141">
        <v>0</v>
      </c>
      <c r="H141">
        <v>2.8225806451612905</v>
      </c>
    </row>
    <row r="142" spans="1:8" hidden="1" x14ac:dyDescent="0.25">
      <c r="A142" t="s">
        <v>284</v>
      </c>
      <c r="B142">
        <v>3.9325842696629216</v>
      </c>
      <c r="C142">
        <f t="shared" si="4"/>
        <v>3.9325842696629216</v>
      </c>
      <c r="F142" t="s">
        <v>300</v>
      </c>
      <c r="G142" t="s">
        <v>309</v>
      </c>
      <c r="H142">
        <v>2.8225806451612905</v>
      </c>
    </row>
    <row r="143" spans="1:8" hidden="1" x14ac:dyDescent="0.25">
      <c r="A143" t="s">
        <v>175</v>
      </c>
      <c r="B143">
        <v>4.0935672514619883</v>
      </c>
      <c r="C143">
        <f t="shared" si="4"/>
        <v>4.0935672514619883</v>
      </c>
      <c r="F143" t="s">
        <v>301</v>
      </c>
      <c r="G143" t="s">
        <v>309</v>
      </c>
      <c r="H143">
        <v>0.19126308365599734</v>
      </c>
    </row>
    <row r="144" spans="1:8" x14ac:dyDescent="0.25">
      <c r="A144" t="s">
        <v>303</v>
      </c>
      <c r="B144">
        <v>4.166666666666667</v>
      </c>
      <c r="C144">
        <f t="shared" si="4"/>
        <v>4.166666666666667</v>
      </c>
      <c r="F144" t="s">
        <v>184</v>
      </c>
      <c r="G144" t="s">
        <v>310</v>
      </c>
      <c r="H144">
        <v>4.2682926829268286</v>
      </c>
    </row>
    <row r="145" spans="1:8" hidden="1" x14ac:dyDescent="0.25">
      <c r="A145" t="s">
        <v>183</v>
      </c>
      <c r="B145">
        <v>4.2682926829268286</v>
      </c>
      <c r="C145">
        <f t="shared" si="4"/>
        <v>4.2682926829268286</v>
      </c>
      <c r="F145" t="s">
        <v>303</v>
      </c>
      <c r="G145" t="s">
        <v>309</v>
      </c>
      <c r="H145">
        <v>0.13395135227079435</v>
      </c>
    </row>
    <row r="146" spans="1:8" x14ac:dyDescent="0.25">
      <c r="A146" t="s">
        <v>216</v>
      </c>
      <c r="B146">
        <v>4.5602605863192176</v>
      </c>
      <c r="C146">
        <f t="shared" si="4"/>
        <v>4.5602605863192176</v>
      </c>
      <c r="F146" t="s">
        <v>282</v>
      </c>
      <c r="G146" t="s">
        <v>310</v>
      </c>
      <c r="H146">
        <v>7.1428571428571423</v>
      </c>
    </row>
    <row r="147" spans="1:8" x14ac:dyDescent="0.25">
      <c r="A147" t="s">
        <v>281</v>
      </c>
      <c r="B147">
        <v>7.1428571428571423</v>
      </c>
      <c r="C147">
        <f t="shared" si="4"/>
        <v>7.1428571428571423</v>
      </c>
      <c r="F147" t="s">
        <v>256</v>
      </c>
      <c r="G147" t="s">
        <v>310</v>
      </c>
      <c r="H147">
        <v>1</v>
      </c>
    </row>
    <row r="148" spans="1:8" hidden="1" x14ac:dyDescent="0.25">
      <c r="A148" t="s">
        <v>306</v>
      </c>
      <c r="F148" t="s">
        <v>306</v>
      </c>
      <c r="G148" t="s">
        <v>309</v>
      </c>
      <c r="H148">
        <v>0.68240901213171579</v>
      </c>
    </row>
  </sheetData>
  <autoFilter ref="F1:H148">
    <filterColumn colId="1">
      <filters>
        <filter val="Oui"/>
      </filters>
    </filterColumn>
    <sortState ref="F6:H147">
      <sortCondition ref="H1:H148"/>
    </sortState>
  </autoFilter>
  <sortState ref="A2:D148">
    <sortCondition ref="C2:C148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="70" zoomScaleNormal="70" workbookViewId="0">
      <selection activeCell="C37" sqref="C37"/>
    </sheetView>
  </sheetViews>
  <sheetFormatPr baseColWidth="10" defaultRowHeight="15" x14ac:dyDescent="0.25"/>
  <cols>
    <col min="2" max="2" width="19.7109375" customWidth="1"/>
    <col min="3" max="3" width="14.7109375" bestFit="1" customWidth="1"/>
    <col min="4" max="4" width="16.5703125" customWidth="1"/>
    <col min="6" max="6" width="17.28515625" customWidth="1"/>
    <col min="7" max="9" width="17" customWidth="1"/>
    <col min="10" max="10" width="21.28515625" customWidth="1"/>
    <col min="12" max="12" width="15.7109375" customWidth="1"/>
    <col min="14" max="14" width="15.7109375" customWidth="1"/>
    <col min="16" max="16" width="14.7109375" customWidth="1"/>
    <col min="18" max="18" width="16.28515625" customWidth="1"/>
    <col min="22" max="22" width="17.28515625" customWidth="1"/>
    <col min="24" max="24" width="14.85546875" customWidth="1"/>
    <col min="26" max="26" width="14.7109375" customWidth="1"/>
    <col min="32" max="32" width="17.7109375" customWidth="1"/>
    <col min="34" max="34" width="15.85546875" customWidth="1"/>
    <col min="36" max="36" width="18" customWidth="1"/>
  </cols>
  <sheetData>
    <row r="1" spans="1:37" x14ac:dyDescent="0.25">
      <c r="A1" t="s">
        <v>114</v>
      </c>
      <c r="B1">
        <v>144</v>
      </c>
    </row>
    <row r="2" spans="1:37" x14ac:dyDescent="0.25">
      <c r="A2" t="s">
        <v>113</v>
      </c>
      <c r="B2">
        <v>65</v>
      </c>
    </row>
    <row r="3" spans="1:37" x14ac:dyDescent="0.25">
      <c r="A3" t="s">
        <v>123</v>
      </c>
      <c r="B3" t="e">
        <f>#REF!</f>
        <v>#REF!</v>
      </c>
    </row>
    <row r="5" spans="1:37" ht="26.25" x14ac:dyDescent="0.4">
      <c r="A5" s="141" t="s">
        <v>94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</row>
    <row r="6" spans="1:37" ht="21" x14ac:dyDescent="0.35">
      <c r="A6" s="146" t="s">
        <v>97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</row>
    <row r="7" spans="1:37" ht="21" x14ac:dyDescent="0.35">
      <c r="A7" s="143" t="s">
        <v>95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 t="s">
        <v>107</v>
      </c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</row>
    <row r="8" spans="1:37" ht="18.75" x14ac:dyDescent="0.3">
      <c r="A8" s="145" t="s">
        <v>96</v>
      </c>
      <c r="B8" s="145"/>
      <c r="C8" s="145"/>
      <c r="D8" s="145"/>
      <c r="E8" s="145"/>
      <c r="F8" s="145"/>
      <c r="G8" s="145" t="s">
        <v>104</v>
      </c>
      <c r="H8" s="145"/>
      <c r="I8" s="145"/>
      <c r="J8" s="145"/>
      <c r="K8" s="145"/>
      <c r="L8" s="145"/>
      <c r="M8" s="145" t="s">
        <v>106</v>
      </c>
      <c r="N8" s="145"/>
      <c r="O8" s="145"/>
      <c r="P8" s="145"/>
      <c r="Q8" s="145"/>
      <c r="R8" s="145"/>
      <c r="S8" s="145" t="s">
        <v>108</v>
      </c>
      <c r="T8" s="145"/>
      <c r="U8" s="145"/>
      <c r="V8" s="145"/>
      <c r="W8" s="145"/>
      <c r="X8" s="145"/>
      <c r="Y8" s="145" t="s">
        <v>104</v>
      </c>
      <c r="Z8" s="145"/>
      <c r="AA8" s="145"/>
      <c r="AB8" s="145"/>
      <c r="AC8" s="145"/>
      <c r="AD8" s="145"/>
      <c r="AE8" s="145" t="s">
        <v>109</v>
      </c>
      <c r="AF8" s="145"/>
      <c r="AG8" s="145"/>
      <c r="AH8" s="145"/>
      <c r="AI8" s="145"/>
      <c r="AJ8" s="145"/>
    </row>
    <row r="9" spans="1:37" x14ac:dyDescent="0.25">
      <c r="A9" s="138" t="s">
        <v>98</v>
      </c>
      <c r="B9" s="138"/>
      <c r="C9" s="138" t="s">
        <v>101</v>
      </c>
      <c r="D9" s="138"/>
      <c r="E9" s="137" t="s">
        <v>103</v>
      </c>
      <c r="F9" s="137"/>
      <c r="G9" s="138" t="s">
        <v>105</v>
      </c>
      <c r="H9" s="138"/>
      <c r="I9" s="138" t="s">
        <v>101</v>
      </c>
      <c r="J9" s="138"/>
      <c r="K9" s="137" t="s">
        <v>103</v>
      </c>
      <c r="L9" s="137"/>
      <c r="M9" s="137" t="s">
        <v>98</v>
      </c>
      <c r="N9" s="137"/>
      <c r="O9" s="138" t="s">
        <v>101</v>
      </c>
      <c r="P9" s="138"/>
      <c r="Q9" s="138" t="s">
        <v>102</v>
      </c>
      <c r="R9" s="138"/>
      <c r="S9" s="137" t="s">
        <v>98</v>
      </c>
      <c r="T9" s="137"/>
      <c r="U9" s="140" t="s">
        <v>101</v>
      </c>
      <c r="V9" s="140"/>
      <c r="W9" s="140" t="s">
        <v>102</v>
      </c>
      <c r="X9" s="140"/>
      <c r="Y9" s="137" t="s">
        <v>98</v>
      </c>
      <c r="Z9" s="137"/>
      <c r="AA9" s="138" t="s">
        <v>101</v>
      </c>
      <c r="AB9" s="138"/>
      <c r="AC9" s="138" t="s">
        <v>102</v>
      </c>
      <c r="AD9" s="138"/>
      <c r="AE9" s="137" t="s">
        <v>98</v>
      </c>
      <c r="AF9" s="137"/>
      <c r="AG9" s="138" t="s">
        <v>101</v>
      </c>
      <c r="AH9" s="138"/>
      <c r="AI9" s="138" t="s">
        <v>102</v>
      </c>
      <c r="AJ9" s="138"/>
    </row>
    <row r="10" spans="1:37" ht="70.900000000000006" customHeight="1" x14ac:dyDescent="0.25">
      <c r="A10" s="24" t="s">
        <v>99</v>
      </c>
      <c r="B10" s="25" t="s">
        <v>100</v>
      </c>
      <c r="C10" s="24" t="s">
        <v>99</v>
      </c>
      <c r="D10" s="25" t="s">
        <v>100</v>
      </c>
      <c r="E10" s="24" t="s">
        <v>99</v>
      </c>
      <c r="F10" s="25" t="s">
        <v>100</v>
      </c>
      <c r="G10" s="24" t="s">
        <v>99</v>
      </c>
      <c r="H10" s="25" t="s">
        <v>100</v>
      </c>
      <c r="I10" s="24" t="s">
        <v>99</v>
      </c>
      <c r="J10" s="25" t="s">
        <v>100</v>
      </c>
      <c r="K10" s="24" t="s">
        <v>99</v>
      </c>
      <c r="L10" s="25" t="s">
        <v>100</v>
      </c>
      <c r="M10" s="24" t="s">
        <v>99</v>
      </c>
      <c r="N10" s="25" t="s">
        <v>100</v>
      </c>
      <c r="O10" s="24" t="s">
        <v>99</v>
      </c>
      <c r="P10" s="25" t="s">
        <v>100</v>
      </c>
      <c r="Q10" s="24" t="s">
        <v>99</v>
      </c>
      <c r="R10" s="25" t="s">
        <v>100</v>
      </c>
      <c r="S10" s="24" t="s">
        <v>99</v>
      </c>
      <c r="T10" s="25" t="s">
        <v>100</v>
      </c>
      <c r="U10" s="28" t="s">
        <v>99</v>
      </c>
      <c r="V10" s="29" t="s">
        <v>100</v>
      </c>
      <c r="W10" s="28" t="s">
        <v>99</v>
      </c>
      <c r="X10" s="29" t="s">
        <v>100</v>
      </c>
      <c r="Y10" s="24" t="s">
        <v>99</v>
      </c>
      <c r="Z10" s="25" t="s">
        <v>100</v>
      </c>
      <c r="AA10" s="24" t="s">
        <v>99</v>
      </c>
      <c r="AB10" s="25" t="s">
        <v>100</v>
      </c>
      <c r="AC10" s="24" t="s">
        <v>99</v>
      </c>
      <c r="AD10" s="25" t="s">
        <v>100</v>
      </c>
      <c r="AE10" s="24" t="s">
        <v>99</v>
      </c>
      <c r="AF10" s="25" t="s">
        <v>100</v>
      </c>
      <c r="AG10" s="24" t="s">
        <v>99</v>
      </c>
      <c r="AH10" s="25" t="s">
        <v>100</v>
      </c>
      <c r="AI10" s="24" t="s">
        <v>99</v>
      </c>
      <c r="AJ10" s="25" t="s">
        <v>100</v>
      </c>
    </row>
    <row r="11" spans="1:37" ht="16.899999999999999" customHeight="1" x14ac:dyDescent="0.25">
      <c r="A11" s="30">
        <v>1.64</v>
      </c>
      <c r="B11" s="30">
        <v>282.89999999999998</v>
      </c>
      <c r="C11" s="30">
        <v>0.88700000000000001</v>
      </c>
      <c r="D11" s="30">
        <v>181.07</v>
      </c>
      <c r="E11" s="30">
        <v>0.77800000000000002</v>
      </c>
      <c r="F11" s="30">
        <v>164.94</v>
      </c>
      <c r="G11" s="30">
        <v>1.64</v>
      </c>
      <c r="H11" s="30">
        <v>210.88</v>
      </c>
      <c r="I11" s="30">
        <v>0.88700000000000001</v>
      </c>
      <c r="J11" s="30">
        <v>130.81</v>
      </c>
      <c r="K11" s="30">
        <v>0.77800000000000002</v>
      </c>
      <c r="L11" s="30">
        <v>118.12</v>
      </c>
      <c r="M11" s="30">
        <v>1.64</v>
      </c>
      <c r="N11" s="30">
        <v>143.52000000000001</v>
      </c>
      <c r="O11" s="30">
        <v>0.88700000000000001</v>
      </c>
      <c r="P11" s="30">
        <v>90.25</v>
      </c>
      <c r="Q11" s="30">
        <v>0.77800000000000002</v>
      </c>
      <c r="R11" s="30">
        <v>81.94</v>
      </c>
      <c r="S11" s="30">
        <v>1.64</v>
      </c>
      <c r="T11" s="30">
        <v>267</v>
      </c>
      <c r="U11" s="31">
        <v>0.88700000000000001</v>
      </c>
      <c r="V11" s="31">
        <v>159</v>
      </c>
      <c r="W11" s="31">
        <v>0.77800000000000002</v>
      </c>
      <c r="X11" s="31">
        <v>150</v>
      </c>
      <c r="Y11" s="30">
        <v>1.64</v>
      </c>
      <c r="Z11" s="30">
        <v>200.4</v>
      </c>
      <c r="AA11" s="30">
        <v>0.88700000000000001</v>
      </c>
      <c r="AB11" s="30">
        <v>124.4</v>
      </c>
      <c r="AC11" s="30">
        <v>0.77800000000000002</v>
      </c>
      <c r="AD11" s="30">
        <v>112.4</v>
      </c>
      <c r="AE11" s="30">
        <v>1.64</v>
      </c>
      <c r="AF11" s="30">
        <v>136.4</v>
      </c>
      <c r="AG11" s="30">
        <v>0.88700000000000001</v>
      </c>
      <c r="AH11" s="30">
        <v>85.7</v>
      </c>
      <c r="AI11" s="30">
        <v>0.77800000000000002</v>
      </c>
      <c r="AJ11" s="30">
        <v>78</v>
      </c>
    </row>
    <row r="12" spans="1:37" ht="16.899999999999999" customHeight="1" x14ac:dyDescent="0.25">
      <c r="A12" s="15"/>
      <c r="B12" s="15"/>
      <c r="C12" s="15"/>
      <c r="D12" s="15"/>
      <c r="E12" s="15"/>
      <c r="F12" s="33">
        <f>((((B11-F11)*($B$1/$B$2))*17.98)+(((D11-F11)*($B$1/$B$2))*17.98))/2</f>
        <v>2670.5776984615377</v>
      </c>
      <c r="G12" s="33"/>
      <c r="H12" s="33"/>
      <c r="I12" s="33"/>
      <c r="J12" s="33"/>
      <c r="K12" s="33"/>
      <c r="L12" s="33">
        <f>((((H11-L11)*($B$1/$B$2))*17.98)+(((J11-L11)*($B$1/$B$2))*17.98))/2</f>
        <v>2100.1746461538464</v>
      </c>
      <c r="M12" s="33"/>
      <c r="N12" s="33"/>
      <c r="O12" s="33"/>
      <c r="P12" s="33"/>
      <c r="Q12" s="33"/>
      <c r="R12" s="33">
        <f>((((N11-R11)*($B$1/$B$2))*17.98)+(((P11-R11)*($B$1/$B$2))*17.98))/2</f>
        <v>1391.9507446153852</v>
      </c>
      <c r="S12" s="33"/>
      <c r="T12" s="33"/>
      <c r="U12" s="33"/>
      <c r="V12" s="33"/>
      <c r="W12" s="33"/>
      <c r="X12" s="34">
        <f>((((T11-X11)*($B$1/$B$2))*17.98)+(((V11-X11)*($B$1/$B$2))*17.98))/2</f>
        <v>2509.4547692307692</v>
      </c>
      <c r="Y12" s="33"/>
      <c r="Z12" s="33"/>
      <c r="AA12" s="33"/>
      <c r="AB12" s="33"/>
      <c r="AC12" s="33"/>
      <c r="AD12" s="34">
        <f>((((Z11-AD11)*($B$1/$B$2))*17.98)+(((AB11-AD11)*($B$1/$B$2))*17.98))/2</f>
        <v>1991.6307692307694</v>
      </c>
      <c r="AE12" s="33"/>
      <c r="AF12" s="33"/>
      <c r="AG12" s="33"/>
      <c r="AH12" s="33"/>
      <c r="AI12" s="33"/>
      <c r="AJ12" s="34">
        <f t="shared" ref="AJ12" si="0">((((AF11-AJ11)*($B$1/$B$2))*17.98)+(((AH11-AJ11)*($B$1/$B$2))*17.98))/2</f>
        <v>1316.4679384615388</v>
      </c>
      <c r="AK12" s="15"/>
    </row>
    <row r="13" spans="1:37" ht="16.899999999999999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32"/>
      <c r="V13" s="32"/>
      <c r="W13" s="32"/>
      <c r="X13" s="32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ht="21" hidden="1" x14ac:dyDescent="0.35">
      <c r="A14" s="144" t="s">
        <v>91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</row>
    <row r="15" spans="1:37" ht="21" hidden="1" x14ac:dyDescent="0.35">
      <c r="A15" s="143" t="s">
        <v>95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 t="s">
        <v>107</v>
      </c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</row>
    <row r="16" spans="1:37" ht="18.75" hidden="1" x14ac:dyDescent="0.3">
      <c r="A16" s="145" t="s">
        <v>96</v>
      </c>
      <c r="B16" s="145"/>
      <c r="C16" s="145"/>
      <c r="D16" s="145"/>
      <c r="E16" s="145"/>
      <c r="F16" s="145"/>
      <c r="G16" s="145" t="s">
        <v>104</v>
      </c>
      <c r="H16" s="145"/>
      <c r="I16" s="145"/>
      <c r="J16" s="145"/>
      <c r="K16" s="145"/>
      <c r="L16" s="145"/>
      <c r="M16" s="145" t="s">
        <v>106</v>
      </c>
      <c r="N16" s="145"/>
      <c r="O16" s="145"/>
      <c r="P16" s="145"/>
      <c r="Q16" s="145"/>
      <c r="R16" s="145"/>
      <c r="S16" s="145" t="s">
        <v>108</v>
      </c>
      <c r="T16" s="145"/>
      <c r="U16" s="145"/>
      <c r="V16" s="145"/>
      <c r="W16" s="145"/>
      <c r="X16" s="145"/>
      <c r="Y16" s="145" t="s">
        <v>104</v>
      </c>
      <c r="Z16" s="145"/>
      <c r="AA16" s="145"/>
      <c r="AB16" s="145"/>
      <c r="AC16" s="145"/>
      <c r="AD16" s="145"/>
      <c r="AE16" s="145" t="s">
        <v>109</v>
      </c>
      <c r="AF16" s="145"/>
      <c r="AG16" s="145"/>
      <c r="AH16" s="145"/>
      <c r="AI16" s="145"/>
      <c r="AJ16" s="145"/>
    </row>
    <row r="17" spans="1:36" hidden="1" x14ac:dyDescent="0.25">
      <c r="A17" s="138" t="s">
        <v>98</v>
      </c>
      <c r="B17" s="138"/>
      <c r="C17" s="138" t="s">
        <v>101</v>
      </c>
      <c r="D17" s="138"/>
      <c r="E17" s="137" t="s">
        <v>103</v>
      </c>
      <c r="F17" s="137"/>
      <c r="G17" s="138" t="s">
        <v>105</v>
      </c>
      <c r="H17" s="138"/>
      <c r="I17" s="138" t="s">
        <v>101</v>
      </c>
      <c r="J17" s="138"/>
      <c r="K17" s="137" t="s">
        <v>103</v>
      </c>
      <c r="L17" s="137"/>
      <c r="M17" s="137" t="s">
        <v>98</v>
      </c>
      <c r="N17" s="137"/>
      <c r="O17" s="140" t="s">
        <v>101</v>
      </c>
      <c r="P17" s="140"/>
      <c r="Q17" s="140" t="s">
        <v>102</v>
      </c>
      <c r="R17" s="140"/>
      <c r="S17" s="137" t="s">
        <v>98</v>
      </c>
      <c r="T17" s="137"/>
      <c r="U17" s="138" t="s">
        <v>101</v>
      </c>
      <c r="V17" s="138"/>
      <c r="W17" s="138" t="s">
        <v>102</v>
      </c>
      <c r="X17" s="138"/>
      <c r="Y17" s="137" t="s">
        <v>98</v>
      </c>
      <c r="Z17" s="137"/>
      <c r="AA17" s="138" t="s">
        <v>101</v>
      </c>
      <c r="AB17" s="138"/>
      <c r="AC17" s="138" t="s">
        <v>102</v>
      </c>
      <c r="AD17" s="138"/>
      <c r="AE17" s="137" t="s">
        <v>98</v>
      </c>
      <c r="AF17" s="137"/>
      <c r="AG17" s="138" t="s">
        <v>101</v>
      </c>
      <c r="AH17" s="138"/>
      <c r="AI17" s="138" t="s">
        <v>102</v>
      </c>
      <c r="AJ17" s="138"/>
    </row>
    <row r="18" spans="1:36" ht="90" hidden="1" x14ac:dyDescent="0.25">
      <c r="A18" s="24" t="s">
        <v>99</v>
      </c>
      <c r="B18" s="25" t="s">
        <v>100</v>
      </c>
      <c r="C18" s="24" t="s">
        <v>99</v>
      </c>
      <c r="D18" s="25" t="s">
        <v>100</v>
      </c>
      <c r="E18" s="24" t="s">
        <v>99</v>
      </c>
      <c r="F18" s="25" t="s">
        <v>100</v>
      </c>
      <c r="G18" s="24" t="s">
        <v>99</v>
      </c>
      <c r="H18" s="25" t="s">
        <v>100</v>
      </c>
      <c r="I18" s="24" t="s">
        <v>99</v>
      </c>
      <c r="J18" s="25" t="s">
        <v>100</v>
      </c>
      <c r="K18" s="24" t="s">
        <v>99</v>
      </c>
      <c r="L18" s="25" t="s">
        <v>100</v>
      </c>
      <c r="M18" s="24" t="s">
        <v>99</v>
      </c>
      <c r="N18" s="25" t="s">
        <v>100</v>
      </c>
      <c r="O18" s="28" t="s">
        <v>99</v>
      </c>
      <c r="P18" s="29" t="s">
        <v>100</v>
      </c>
      <c r="Q18" s="28" t="s">
        <v>99</v>
      </c>
      <c r="R18" s="29" t="s">
        <v>100</v>
      </c>
      <c r="S18" s="24" t="s">
        <v>99</v>
      </c>
      <c r="T18" s="25" t="s">
        <v>100</v>
      </c>
      <c r="U18" s="24" t="s">
        <v>99</v>
      </c>
      <c r="V18" s="25" t="s">
        <v>100</v>
      </c>
      <c r="W18" s="24" t="s">
        <v>99</v>
      </c>
      <c r="X18" s="25" t="s">
        <v>100</v>
      </c>
      <c r="Y18" s="24" t="s">
        <v>99</v>
      </c>
      <c r="Z18" s="25" t="s">
        <v>100</v>
      </c>
      <c r="AA18" s="24" t="s">
        <v>99</v>
      </c>
      <c r="AB18" s="25" t="s">
        <v>100</v>
      </c>
      <c r="AC18" s="24" t="s">
        <v>99</v>
      </c>
      <c r="AD18" s="25" t="s">
        <v>100</v>
      </c>
      <c r="AE18" s="24" t="s">
        <v>99</v>
      </c>
      <c r="AF18" s="25" t="s">
        <v>100</v>
      </c>
      <c r="AG18" s="24" t="s">
        <v>99</v>
      </c>
      <c r="AH18" s="25" t="s">
        <v>100</v>
      </c>
      <c r="AI18" s="24" t="s">
        <v>99</v>
      </c>
      <c r="AJ18" s="25" t="s">
        <v>100</v>
      </c>
    </row>
    <row r="19" spans="1:36" hidden="1" x14ac:dyDescent="0.25">
      <c r="A19" s="24">
        <v>1.522</v>
      </c>
      <c r="B19" s="24">
        <v>283.57</v>
      </c>
      <c r="C19" s="24">
        <v>0.93600000000000005</v>
      </c>
      <c r="D19" s="24">
        <v>191</v>
      </c>
      <c r="E19" s="24">
        <v>0.82699999999999996</v>
      </c>
      <c r="F19" s="24">
        <v>173</v>
      </c>
      <c r="G19" s="24">
        <v>1.522</v>
      </c>
      <c r="H19" s="24">
        <v>212</v>
      </c>
      <c r="I19" s="24">
        <v>0.93600000000000005</v>
      </c>
      <c r="J19" s="24">
        <v>139.69999999999999</v>
      </c>
      <c r="K19" s="24">
        <v>0.82699999999999996</v>
      </c>
      <c r="L19" s="24">
        <v>124.68</v>
      </c>
      <c r="M19" s="24">
        <v>1.522</v>
      </c>
      <c r="N19" s="24">
        <v>150</v>
      </c>
      <c r="O19" s="28">
        <v>0.93600000000000005</v>
      </c>
      <c r="P19" s="28">
        <v>96.93</v>
      </c>
      <c r="Q19" s="28">
        <v>0.82699999999999996</v>
      </c>
      <c r="R19" s="28">
        <v>88.96</v>
      </c>
      <c r="S19" s="24">
        <v>1.52</v>
      </c>
      <c r="T19" s="26">
        <f>698/2.58</f>
        <v>270.54263565891472</v>
      </c>
      <c r="U19" s="24">
        <v>0.93600000000000005</v>
      </c>
      <c r="V19" s="26">
        <f>471/2.58</f>
        <v>182.55813953488371</v>
      </c>
      <c r="W19" s="24">
        <v>0.82699999999999996</v>
      </c>
      <c r="X19" s="26">
        <f>425/2.58</f>
        <v>164.72868217054264</v>
      </c>
      <c r="Y19" s="24">
        <v>1.52</v>
      </c>
      <c r="Z19" s="26">
        <f>529/2.58</f>
        <v>205.03875968992247</v>
      </c>
      <c r="AA19" s="24">
        <v>0.93600000000000005</v>
      </c>
      <c r="AB19" s="26">
        <f>343/2.58</f>
        <v>132.94573643410851</v>
      </c>
      <c r="AC19" s="24">
        <v>0.82699999999999996</v>
      </c>
      <c r="AD19" s="26">
        <f>306/2.58</f>
        <v>118.60465116279069</v>
      </c>
      <c r="AE19" s="24">
        <v>1.52</v>
      </c>
      <c r="AF19" s="27">
        <f>370/2.58</f>
        <v>143.41085271317829</v>
      </c>
      <c r="AG19" s="24">
        <v>0.93600000000000005</v>
      </c>
      <c r="AH19" s="27">
        <f>238/2.58</f>
        <v>92.248062015503876</v>
      </c>
      <c r="AI19" s="24">
        <v>0.82699999999999996</v>
      </c>
      <c r="AJ19" s="26">
        <f>211/2.58</f>
        <v>81.782945736434101</v>
      </c>
    </row>
    <row r="20" spans="1:36" x14ac:dyDescent="0.25">
      <c r="F20" s="22">
        <f>((((B19-F19)*($B$1/$B$2))*17.98)+(((D19-F19)*($B$1/$B$2))*17.98))/2</f>
        <v>2560.6396800000002</v>
      </c>
      <c r="L20" s="22">
        <f t="shared" ref="L20:AJ20" si="1">((((H19-L19)*($B$1/$B$2))*17.98)+(((J19-L19)*($B$1/$B$2))*17.98))/2</f>
        <v>2038.2349292307688</v>
      </c>
      <c r="R20" s="22">
        <f t="shared" si="1"/>
        <v>1374.4243938461543</v>
      </c>
      <c r="X20" s="22">
        <f t="shared" si="1"/>
        <v>2462.5202146690513</v>
      </c>
      <c r="AD20" s="22">
        <f t="shared" si="1"/>
        <v>2007.0697674418607</v>
      </c>
      <c r="AE20" s="22"/>
      <c r="AF20" s="22"/>
      <c r="AG20" s="22"/>
      <c r="AH20" s="22"/>
      <c r="AI20" s="22"/>
      <c r="AJ20" s="22">
        <f t="shared" si="1"/>
        <v>1435.826833631485</v>
      </c>
    </row>
    <row r="21" spans="1:36" x14ac:dyDescent="0.25">
      <c r="A21" t="s">
        <v>112</v>
      </c>
      <c r="B21">
        <v>83</v>
      </c>
    </row>
    <row r="22" spans="1:36" x14ac:dyDescent="0.25">
      <c r="A22" t="s">
        <v>113</v>
      </c>
      <c r="B22">
        <v>72</v>
      </c>
    </row>
    <row r="24" spans="1:36" ht="26.25" x14ac:dyDescent="0.4">
      <c r="A24" s="141" t="s">
        <v>110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</row>
    <row r="25" spans="1:36" ht="21" x14ac:dyDescent="0.35">
      <c r="A25" s="146" t="s">
        <v>91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</row>
    <row r="26" spans="1:36" ht="21" x14ac:dyDescent="0.35">
      <c r="A26" s="143" t="s">
        <v>95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 t="s">
        <v>111</v>
      </c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</row>
    <row r="27" spans="1:36" ht="18.75" x14ac:dyDescent="0.25">
      <c r="A27" s="142" t="s">
        <v>77</v>
      </c>
      <c r="B27" s="142"/>
      <c r="C27" s="142"/>
      <c r="D27" s="142"/>
      <c r="E27" s="142" t="s">
        <v>78</v>
      </c>
      <c r="F27" s="142"/>
      <c r="G27" s="142"/>
      <c r="H27" s="142"/>
      <c r="I27" s="142" t="s">
        <v>79</v>
      </c>
      <c r="J27" s="142"/>
      <c r="K27" s="142"/>
      <c r="L27" s="142"/>
      <c r="M27" s="142" t="s">
        <v>77</v>
      </c>
      <c r="N27" s="142"/>
      <c r="O27" s="142"/>
      <c r="P27" s="142"/>
      <c r="Q27" s="142" t="s">
        <v>78</v>
      </c>
      <c r="R27" s="142"/>
      <c r="S27" s="142"/>
      <c r="T27" s="142"/>
      <c r="U27" s="142" t="s">
        <v>79</v>
      </c>
      <c r="V27" s="142"/>
      <c r="W27" s="142"/>
      <c r="X27" s="142"/>
    </row>
    <row r="28" spans="1:36" ht="46.15" customHeight="1" x14ac:dyDescent="0.25">
      <c r="A28" s="138" t="s">
        <v>101</v>
      </c>
      <c r="B28" s="138"/>
      <c r="C28" s="137" t="s">
        <v>103</v>
      </c>
      <c r="D28" s="137"/>
      <c r="E28" s="138" t="s">
        <v>101</v>
      </c>
      <c r="F28" s="138"/>
      <c r="G28" s="137" t="s">
        <v>103</v>
      </c>
      <c r="H28" s="137"/>
      <c r="I28" s="138" t="s">
        <v>101</v>
      </c>
      <c r="J28" s="138"/>
      <c r="K28" s="139" t="s">
        <v>103</v>
      </c>
      <c r="L28" s="139"/>
      <c r="M28" s="138" t="s">
        <v>101</v>
      </c>
      <c r="N28" s="138"/>
      <c r="O28" s="139" t="s">
        <v>103</v>
      </c>
      <c r="P28" s="139"/>
      <c r="Q28" s="138" t="s">
        <v>101</v>
      </c>
      <c r="R28" s="138"/>
      <c r="S28" s="139" t="s">
        <v>103</v>
      </c>
      <c r="T28" s="139"/>
      <c r="U28" s="138" t="s">
        <v>101</v>
      </c>
      <c r="V28" s="138"/>
      <c r="W28" s="139" t="s">
        <v>103</v>
      </c>
      <c r="X28" s="139"/>
    </row>
    <row r="29" spans="1:36" ht="90" x14ac:dyDescent="0.25">
      <c r="A29" s="24" t="s">
        <v>99</v>
      </c>
      <c r="B29" s="25" t="s">
        <v>100</v>
      </c>
      <c r="C29" s="24" t="s">
        <v>99</v>
      </c>
      <c r="D29" s="25" t="s">
        <v>100</v>
      </c>
      <c r="E29" s="24" t="s">
        <v>99</v>
      </c>
      <c r="F29" s="25" t="s">
        <v>100</v>
      </c>
      <c r="G29" s="24" t="s">
        <v>99</v>
      </c>
      <c r="H29" s="25" t="s">
        <v>100</v>
      </c>
      <c r="I29" s="24" t="s">
        <v>99</v>
      </c>
      <c r="J29" s="25" t="s">
        <v>100</v>
      </c>
      <c r="K29" s="24" t="s">
        <v>99</v>
      </c>
      <c r="L29" s="25" t="s">
        <v>100</v>
      </c>
      <c r="M29" s="24" t="s">
        <v>99</v>
      </c>
      <c r="N29" s="25" t="s">
        <v>100</v>
      </c>
      <c r="O29" s="24" t="s">
        <v>99</v>
      </c>
      <c r="P29" s="25" t="s">
        <v>100</v>
      </c>
      <c r="Q29" s="24" t="s">
        <v>99</v>
      </c>
      <c r="R29" s="25" t="s">
        <v>100</v>
      </c>
      <c r="S29" s="24" t="s">
        <v>99</v>
      </c>
      <c r="T29" s="25" t="s">
        <v>100</v>
      </c>
      <c r="U29" s="24" t="s">
        <v>99</v>
      </c>
      <c r="V29" s="25" t="s">
        <v>100</v>
      </c>
      <c r="W29" s="24" t="s">
        <v>99</v>
      </c>
      <c r="X29" s="25" t="s">
        <v>100</v>
      </c>
    </row>
    <row r="30" spans="1:36" x14ac:dyDescent="0.25">
      <c r="A30" s="24">
        <v>0.91800000000000004</v>
      </c>
      <c r="B30" s="24">
        <v>149.41</v>
      </c>
      <c r="C30" s="24">
        <v>0.77600000000000002</v>
      </c>
      <c r="D30" s="24">
        <v>128</v>
      </c>
      <c r="E30" s="24">
        <v>0.91800000000000004</v>
      </c>
      <c r="F30" s="24">
        <v>108.79</v>
      </c>
      <c r="G30" s="24">
        <v>0.76600000000000001</v>
      </c>
      <c r="H30" s="24">
        <v>91.88</v>
      </c>
      <c r="I30" s="24">
        <v>0.91800000000000004</v>
      </c>
      <c r="J30" s="24">
        <v>71.760000000000005</v>
      </c>
      <c r="K30" s="24">
        <v>0.76600000000000001</v>
      </c>
      <c r="L30" s="24">
        <v>60</v>
      </c>
      <c r="M30" s="24">
        <v>0.91800000000000004</v>
      </c>
      <c r="N30" s="24">
        <v>160.5</v>
      </c>
      <c r="O30" s="24">
        <v>0.76600000000000001</v>
      </c>
      <c r="P30" s="26">
        <f>353/2.58</f>
        <v>136.82170542635657</v>
      </c>
      <c r="Q30" s="24">
        <v>0.91800000000000004</v>
      </c>
      <c r="R30" s="26">
        <f>300/2.58</f>
        <v>116.27906976744185</v>
      </c>
      <c r="S30" s="24">
        <v>0.76600000000000001</v>
      </c>
      <c r="T30" s="26">
        <f>251/2.58</f>
        <v>97.286821705426348</v>
      </c>
      <c r="U30" s="24">
        <v>0.91800000000000004</v>
      </c>
      <c r="V30" s="26">
        <f>196/2.58</f>
        <v>75.968992248062008</v>
      </c>
      <c r="W30" s="24">
        <v>0.76600000000000001</v>
      </c>
      <c r="X30" s="24">
        <v>62.7</v>
      </c>
    </row>
    <row r="31" spans="1:36" x14ac:dyDescent="0.25">
      <c r="D31" s="22">
        <f>((B30-D30)*($B$21/$B$22))*17.98</f>
        <v>443.76388055555549</v>
      </c>
      <c r="E31" s="22"/>
      <c r="F31" s="22"/>
      <c r="G31" s="22"/>
      <c r="H31" s="22">
        <f t="shared" ref="H31:X31" si="2">((F30-H30)*($B$21/$B$22))*17.98</f>
        <v>350.49263055555576</v>
      </c>
      <c r="I31" s="22"/>
      <c r="J31" s="22"/>
      <c r="K31" s="22"/>
      <c r="L31" s="22">
        <f t="shared" si="2"/>
        <v>243.74886666666677</v>
      </c>
      <c r="M31" s="22"/>
      <c r="N31" s="22"/>
      <c r="O31" s="22"/>
      <c r="P31" s="22">
        <f t="shared" si="2"/>
        <v>490.77869616709762</v>
      </c>
      <c r="Q31" s="22"/>
      <c r="R31" s="22"/>
      <c r="S31" s="22"/>
      <c r="T31" s="22">
        <f t="shared" si="2"/>
        <v>393.65127045650303</v>
      </c>
      <c r="U31" s="22"/>
      <c r="V31" s="22"/>
      <c r="W31" s="22"/>
      <c r="X31" s="22">
        <f t="shared" si="2"/>
        <v>275.02566515934518</v>
      </c>
    </row>
    <row r="33" spans="1:10" ht="15.75" x14ac:dyDescent="0.25">
      <c r="B33" s="35"/>
      <c r="C33" s="35" t="s">
        <v>111</v>
      </c>
      <c r="D33" s="35" t="s">
        <v>115</v>
      </c>
      <c r="E33" s="24" t="s">
        <v>117</v>
      </c>
    </row>
    <row r="34" spans="1:10" ht="15.75" x14ac:dyDescent="0.25">
      <c r="A34" s="147" t="s">
        <v>120</v>
      </c>
      <c r="B34" s="35" t="s">
        <v>77</v>
      </c>
      <c r="C34" s="36" t="e">
        <f>(AVERAGE(X7,X15)+P26)/2</f>
        <v>#DIV/0!</v>
      </c>
      <c r="D34" s="36" t="e">
        <f>(AVERAGE(F7,F15)+D26)/2</f>
        <v>#DIV/0!</v>
      </c>
      <c r="E34" s="136" t="s">
        <v>116</v>
      </c>
    </row>
    <row r="35" spans="1:10" ht="15.75" x14ac:dyDescent="0.25">
      <c r="A35" s="147"/>
      <c r="B35" s="35" t="s">
        <v>78</v>
      </c>
      <c r="C35" s="36" t="e">
        <f>(AVERAGE(AD7,AD15)+T26)/2</f>
        <v>#DIV/0!</v>
      </c>
      <c r="D35" s="36" t="e">
        <f>(AVERAGE(L7,L15)+H26)/2</f>
        <v>#DIV/0!</v>
      </c>
      <c r="E35" s="136"/>
    </row>
    <row r="36" spans="1:10" ht="15.75" x14ac:dyDescent="0.25">
      <c r="A36" s="147"/>
      <c r="B36" s="35" t="s">
        <v>79</v>
      </c>
      <c r="C36" s="36" t="e">
        <f>(AVERAGE(AJ7,AJ15)+X26)/2</f>
        <v>#DIV/0!</v>
      </c>
      <c r="D36" s="36" t="e">
        <f>(AVERAGE(R7,R15)+L26)/2</f>
        <v>#DIV/0!</v>
      </c>
      <c r="E36" s="136"/>
    </row>
    <row r="38" spans="1:10" ht="15.75" x14ac:dyDescent="0.25">
      <c r="B38" s="35"/>
      <c r="C38" s="35" t="s">
        <v>111</v>
      </c>
      <c r="D38" s="35" t="s">
        <v>115</v>
      </c>
      <c r="E38" s="24" t="s">
        <v>117</v>
      </c>
      <c r="G38" s="35"/>
      <c r="H38" s="35"/>
      <c r="I38" s="35"/>
      <c r="J38" s="24"/>
    </row>
    <row r="39" spans="1:10" ht="15.6" customHeight="1" x14ac:dyDescent="0.25">
      <c r="A39" s="147" t="s">
        <v>122</v>
      </c>
      <c r="B39" s="35" t="s">
        <v>77</v>
      </c>
      <c r="C39" s="36">
        <f>(AVERAGE(X12,X20)+P31)/2</f>
        <v>1488.383094058504</v>
      </c>
      <c r="D39" s="36">
        <f>(AVERAGE(F12,F20)+D31)/2</f>
        <v>1529.6862848931623</v>
      </c>
      <c r="E39" s="136" t="s">
        <v>116</v>
      </c>
      <c r="G39" s="35"/>
      <c r="H39" s="36"/>
      <c r="I39" s="36"/>
      <c r="J39" s="136"/>
    </row>
    <row r="40" spans="1:10" ht="15.75" x14ac:dyDescent="0.25">
      <c r="A40" s="147"/>
      <c r="B40" s="35" t="s">
        <v>78</v>
      </c>
      <c r="C40" s="36">
        <f>(AVERAGE(AD12,AD20)+T31)/2</f>
        <v>1196.5007693964089</v>
      </c>
      <c r="D40" s="36">
        <f>(AVERAGE(L12,L20)+H31)/2</f>
        <v>1209.8487091239317</v>
      </c>
      <c r="E40" s="136"/>
      <c r="G40" s="35"/>
      <c r="H40" s="36"/>
      <c r="I40" s="36"/>
      <c r="J40" s="136"/>
    </row>
    <row r="41" spans="1:10" ht="15.75" x14ac:dyDescent="0.25">
      <c r="A41" s="147"/>
      <c r="B41" s="35" t="s">
        <v>79</v>
      </c>
      <c r="C41" s="36">
        <f>(AVERAGE(AJ12,AJ20)+X31)/2</f>
        <v>825.58652560292853</v>
      </c>
      <c r="D41" s="36">
        <f>(AVERAGE(R12,R20)+L31)/2</f>
        <v>813.46821794871835</v>
      </c>
      <c r="E41" s="136"/>
      <c r="G41" s="35"/>
      <c r="H41" s="36"/>
      <c r="I41" s="36"/>
      <c r="J41" s="136"/>
    </row>
    <row r="42" spans="1:10" ht="15.75" x14ac:dyDescent="0.25">
      <c r="A42" s="23"/>
      <c r="B42" s="35"/>
      <c r="C42" s="36"/>
      <c r="D42" s="36"/>
      <c r="E42" s="37"/>
      <c r="G42" s="39"/>
      <c r="H42" s="40"/>
      <c r="I42" s="40"/>
      <c r="J42" s="41"/>
    </row>
    <row r="43" spans="1:10" ht="15.75" x14ac:dyDescent="0.25">
      <c r="B43" s="35"/>
      <c r="C43" s="35" t="s">
        <v>111</v>
      </c>
      <c r="D43" s="35" t="s">
        <v>115</v>
      </c>
      <c r="E43" s="24" t="s">
        <v>117</v>
      </c>
    </row>
    <row r="44" spans="1:10" ht="15.75" x14ac:dyDescent="0.25">
      <c r="A44" s="148" t="s">
        <v>121</v>
      </c>
      <c r="B44" s="35" t="s">
        <v>77</v>
      </c>
      <c r="C44" s="36">
        <f>(AVERAGE(X12,X20)+P31)/2</f>
        <v>1488.383094058504</v>
      </c>
      <c r="D44" s="36">
        <f>(AVERAGE(F12,F20)+D31)/2</f>
        <v>1529.6862848931623</v>
      </c>
      <c r="E44" s="136" t="s">
        <v>116</v>
      </c>
    </row>
    <row r="45" spans="1:10" ht="15.75" x14ac:dyDescent="0.25">
      <c r="A45" s="148"/>
      <c r="B45" s="35" t="s">
        <v>78</v>
      </c>
      <c r="C45" s="36">
        <f>(AVERAGE(AD12,AD20)+T31)/2</f>
        <v>1196.5007693964089</v>
      </c>
      <c r="D45" s="36">
        <f>(AVERAGE(L12,L20)+H31)/2</f>
        <v>1209.8487091239317</v>
      </c>
      <c r="E45" s="136"/>
    </row>
    <row r="46" spans="1:10" ht="15.75" x14ac:dyDescent="0.25">
      <c r="A46" s="148"/>
      <c r="B46" s="35" t="s">
        <v>79</v>
      </c>
      <c r="C46" s="36">
        <f>(AVERAGE(AJ12,AJ20)+X31)/2</f>
        <v>825.58652560292853</v>
      </c>
      <c r="D46" s="36">
        <f>(AVERAGE(R12,R20)+L31)/2</f>
        <v>813.46821794871835</v>
      </c>
      <c r="E46" s="136"/>
    </row>
  </sheetData>
  <mergeCells count="84">
    <mergeCell ref="E34:E36"/>
    <mergeCell ref="A34:A36"/>
    <mergeCell ref="A39:A41"/>
    <mergeCell ref="E39:E41"/>
    <mergeCell ref="A44:A46"/>
    <mergeCell ref="E44:E46"/>
    <mergeCell ref="A5:AJ5"/>
    <mergeCell ref="S7:AJ7"/>
    <mergeCell ref="M9:N9"/>
    <mergeCell ref="O9:P9"/>
    <mergeCell ref="Q9:R9"/>
    <mergeCell ref="M8:R8"/>
    <mergeCell ref="A7:R7"/>
    <mergeCell ref="A9:B9"/>
    <mergeCell ref="C9:D9"/>
    <mergeCell ref="E9:F9"/>
    <mergeCell ref="A8:F8"/>
    <mergeCell ref="K9:L9"/>
    <mergeCell ref="G9:H9"/>
    <mergeCell ref="I9:J9"/>
    <mergeCell ref="G8:L8"/>
    <mergeCell ref="AI9:AJ9"/>
    <mergeCell ref="AE8:AJ8"/>
    <mergeCell ref="A6:AJ6"/>
    <mergeCell ref="Y9:Z9"/>
    <mergeCell ref="AA9:AB9"/>
    <mergeCell ref="AC9:AD9"/>
    <mergeCell ref="Y8:AD8"/>
    <mergeCell ref="AE9:AF9"/>
    <mergeCell ref="AG9:AH9"/>
    <mergeCell ref="S9:T9"/>
    <mergeCell ref="U9:V9"/>
    <mergeCell ref="W9:X9"/>
    <mergeCell ref="S8:X8"/>
    <mergeCell ref="AE17:AF17"/>
    <mergeCell ref="AG17:AH17"/>
    <mergeCell ref="AI17:AJ17"/>
    <mergeCell ref="Q27:T27"/>
    <mergeCell ref="AC17:AD17"/>
    <mergeCell ref="A25:X25"/>
    <mergeCell ref="I27:L27"/>
    <mergeCell ref="S17:T17"/>
    <mergeCell ref="W17:X17"/>
    <mergeCell ref="A14:AJ14"/>
    <mergeCell ref="A15:R15"/>
    <mergeCell ref="A16:F16"/>
    <mergeCell ref="G16:L16"/>
    <mergeCell ref="M16:R16"/>
    <mergeCell ref="S16:X16"/>
    <mergeCell ref="Y16:AD16"/>
    <mergeCell ref="AE16:AJ16"/>
    <mergeCell ref="S15:AJ15"/>
    <mergeCell ref="A28:B28"/>
    <mergeCell ref="C28:D28"/>
    <mergeCell ref="M17:N17"/>
    <mergeCell ref="O17:P17"/>
    <mergeCell ref="Q17:R17"/>
    <mergeCell ref="A17:B17"/>
    <mergeCell ref="Q28:R28"/>
    <mergeCell ref="A24:X24"/>
    <mergeCell ref="A27:D27"/>
    <mergeCell ref="E27:H27"/>
    <mergeCell ref="A26:L26"/>
    <mergeCell ref="M27:P27"/>
    <mergeCell ref="W28:X28"/>
    <mergeCell ref="M26:X26"/>
    <mergeCell ref="U27:X27"/>
    <mergeCell ref="K17:L17"/>
    <mergeCell ref="J39:J41"/>
    <mergeCell ref="Y17:Z17"/>
    <mergeCell ref="AA17:AB17"/>
    <mergeCell ref="U17:V17"/>
    <mergeCell ref="C17:D17"/>
    <mergeCell ref="E17:F17"/>
    <mergeCell ref="G17:H17"/>
    <mergeCell ref="I17:J17"/>
    <mergeCell ref="E28:F28"/>
    <mergeCell ref="G28:H28"/>
    <mergeCell ref="I28:J28"/>
    <mergeCell ref="K28:L28"/>
    <mergeCell ref="M28:N28"/>
    <mergeCell ref="O28:P28"/>
    <mergeCell ref="S28:T28"/>
    <mergeCell ref="U28:V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39" sqref="A39"/>
    </sheetView>
  </sheetViews>
  <sheetFormatPr baseColWidth="10" defaultRowHeight="15" x14ac:dyDescent="0.25"/>
  <cols>
    <col min="1" max="1" width="38.28515625" bestFit="1" customWidth="1"/>
    <col min="2" max="2" width="27.5703125" bestFit="1" customWidth="1"/>
  </cols>
  <sheetData>
    <row r="1" spans="1:3" x14ac:dyDescent="0.25">
      <c r="A1" t="s">
        <v>383</v>
      </c>
      <c r="B1" t="s">
        <v>384</v>
      </c>
      <c r="C1" t="s">
        <v>385</v>
      </c>
    </row>
    <row r="2" spans="1:3" x14ac:dyDescent="0.25">
      <c r="A2">
        <v>187714</v>
      </c>
      <c r="B2" s="124">
        <v>0.15</v>
      </c>
      <c r="C2">
        <f>Nombre_de_Uph_final__compartiments__par_Uph_final__compartiments__2020__2[[#This Row],[Nombre de Uph_final (compartiments)]]+Nombre_de_Uph_final__compartiments__par_Uph_final__compartiments__2019__2[[#This Row],[Nombre de Uph final (compartiments)]]</f>
        <v>421167</v>
      </c>
    </row>
    <row r="3" spans="1:3" x14ac:dyDescent="0.25">
      <c r="A3">
        <v>255023</v>
      </c>
      <c r="B3" s="124">
        <v>0.2</v>
      </c>
      <c r="C3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1047418</v>
      </c>
    </row>
    <row r="4" spans="1:3" x14ac:dyDescent="0.25">
      <c r="A4">
        <v>407458</v>
      </c>
      <c r="B4" s="124">
        <v>0.25</v>
      </c>
      <c r="C4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1031834</v>
      </c>
    </row>
    <row r="5" spans="1:3" x14ac:dyDescent="0.25">
      <c r="A5">
        <v>294232</v>
      </c>
      <c r="B5" s="124">
        <v>0.3</v>
      </c>
      <c r="C5">
        <f>Nombre_de_Uph_final__compartiments__par_Uph_final__compartiments__2020__2[[#This Row],[Nombre de Uph_final (compartiments)]]+Nombre_de_Uph_final__compartiments__par_Uph_final__compartiments__2019__2[[#This Row],[Nombre de Uph final (compartiments)]]</f>
        <v>697557</v>
      </c>
    </row>
    <row r="6" spans="1:3" x14ac:dyDescent="0.25">
      <c r="A6">
        <v>39080</v>
      </c>
      <c r="B6" s="124">
        <v>0.35</v>
      </c>
      <c r="C6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106053</v>
      </c>
    </row>
    <row r="7" spans="1:3" x14ac:dyDescent="0.25">
      <c r="A7">
        <v>383014</v>
      </c>
      <c r="B7" s="124">
        <v>0.4</v>
      </c>
      <c r="C7">
        <f>Nombre_de_Uph_final__compartiments__par_Uph_final__compartiments__2020__2[[#This Row],[Nombre de Uph_final (compartiments)]]+Nombre_de_Uph_final__compartiments__par_Uph_final__compartiments__2019__2[[#This Row],[Nombre de Uph final (compartiments)]]</f>
        <v>794599</v>
      </c>
    </row>
    <row r="8" spans="1:3" x14ac:dyDescent="0.25">
      <c r="A8">
        <v>149642</v>
      </c>
      <c r="B8" s="124">
        <v>0.5</v>
      </c>
      <c r="C8">
        <f>Nombre_de_Uph_final__compartiments__par_Uph_final__compartiments__2020__2[[#This Row],[Nombre de Uph_final (compartiments)]]+Nombre_de_Uph_final__compartiments__par_Uph_final__compartiments__2019__2[[#This Row],[Nombre de Uph final (compartiments)]]</f>
        <v>321916</v>
      </c>
    </row>
    <row r="9" spans="1:3" x14ac:dyDescent="0.25">
      <c r="A9">
        <v>27390</v>
      </c>
      <c r="B9" s="124">
        <v>0.55000000000000004</v>
      </c>
      <c r="C9">
        <f>Nombre_de_Uph_final__compartiments__par_Uph_final__compartiments__2020__2[[#This Row],[Nombre de Uph_final (compartiments)]]+Nombre_de_Uph_final__compartiments__par_Uph_final__compartiments__2019__2[[#This Row],[Nombre de Uph final (compartiments)]]</f>
        <v>59479</v>
      </c>
    </row>
    <row r="10" spans="1:3" x14ac:dyDescent="0.25">
      <c r="A10">
        <v>111756</v>
      </c>
      <c r="B10" s="124">
        <v>0.6</v>
      </c>
      <c r="C10">
        <f>Nombre_de_Uph_final__compartiments__par_Uph_final__compartiments__2020__2[[#This Row],[Nombre de Uph_final (compartiments)]]+Nombre_de_Uph_final__compartiments__par_Uph_final__compartiments__2019__2[[#This Row],[Nombre de Uph final (compartiments)]]</f>
        <v>221596</v>
      </c>
    </row>
    <row r="11" spans="1:3" x14ac:dyDescent="0.25">
      <c r="A11">
        <v>12938</v>
      </c>
      <c r="B11" s="124">
        <v>0.7</v>
      </c>
      <c r="C11">
        <f>Nombre_de_Uph_final__compartiments__par_Uph_final__compartiments__2020__2[[#This Row],[Nombre de Uph_final (compartiments)]]+Nombre_de_Uph_final__compartiments__par_Uph_final__compartiments__2019__2[[#This Row],[Nombre de Uph final (compartiments)]]</f>
        <v>24412</v>
      </c>
    </row>
    <row r="12" spans="1:3" x14ac:dyDescent="0.25">
      <c r="A12">
        <v>16321</v>
      </c>
      <c r="B12" s="124">
        <v>0.75</v>
      </c>
      <c r="C12">
        <f>Nombre_de_Uph_final__compartiments__par_Uph_final__compartiments__2020__2[[#This Row],[Nombre de Uph_final (compartiments)]]+Nombre_de_Uph_final__compartiments__par_Uph_final__compartiments__2019__2[[#This Row],[Nombre de Uph final (compartiments)]]</f>
        <v>35107</v>
      </c>
    </row>
    <row r="13" spans="1:3" x14ac:dyDescent="0.25">
      <c r="A13">
        <v>9520</v>
      </c>
      <c r="B13" s="124">
        <v>0.8</v>
      </c>
      <c r="C13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18462</v>
      </c>
    </row>
    <row r="14" spans="1:3" x14ac:dyDescent="0.25">
      <c r="A14">
        <v>10617</v>
      </c>
      <c r="B14" s="124" t="s">
        <v>369</v>
      </c>
      <c r="C14">
        <f>Nombre_de_Uph_final__compartiments__par_Uph_final__compartiments__2020__2[[#This Row],[Nombre de Uph_final (compartiments)]]+Nombre_de_Uph_final__compartiments__par_Uph_final__compartiments__2019__2[[#This Row],[Nombre de Uph final (compartiments)]]</f>
        <v>23169</v>
      </c>
    </row>
    <row r="15" spans="1:3" x14ac:dyDescent="0.25">
      <c r="A15">
        <v>153818</v>
      </c>
      <c r="B15" s="124">
        <v>1.2</v>
      </c>
      <c r="C15">
        <f>Nombre_de_Uph_final__compartiments__par_Uph_final__compartiments__2020__2[[#This Row],[Nombre de Uph_final (compartiments)]]+Nombre_de_Uph_final__compartiments__par_Uph_final__compartiments__2019__2[[#This Row],[Nombre de Uph final (compartiments)]]</f>
        <v>337179</v>
      </c>
    </row>
    <row r="16" spans="1:3" x14ac:dyDescent="0.25">
      <c r="A16">
        <v>73312</v>
      </c>
      <c r="B16" s="124">
        <v>1.45</v>
      </c>
      <c r="C16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173370</v>
      </c>
    </row>
    <row r="17" spans="1:3" x14ac:dyDescent="0.25">
      <c r="A17">
        <v>40528</v>
      </c>
      <c r="B17" s="124" t="s">
        <v>370</v>
      </c>
      <c r="C17">
        <f>Nombre_de_Uph_final__compartiments__par_Uph_final__compartiments__2020__2[[#This Row],[Nombre de Uph_final (compartiments)]]+Nombre_de_Uph_final__compartiments__par_Uph_final__compartiments__2019__2[[#This Row],[Nombre de Uph final (compartiments)]]</f>
        <v>92261</v>
      </c>
    </row>
    <row r="18" spans="1:3" x14ac:dyDescent="0.25">
      <c r="A18">
        <v>585074</v>
      </c>
      <c r="B18" s="124">
        <v>2.2999999999999998</v>
      </c>
      <c r="C18">
        <f>Nombre_de_Uph_final__compartiments__par_Uph_final__compartiments__2020__2[[#This Row],[Nombre de Uph_final (compartiments)]]+Nombre_de_Uph_final__compartiments__par_Uph_final__compartiments__2019__2[[#This Row],[Nombre de Uph final (compartiments)]]</f>
        <v>1361643</v>
      </c>
    </row>
    <row r="19" spans="1:3" x14ac:dyDescent="0.25">
      <c r="A19">
        <v>995508</v>
      </c>
      <c r="B19" s="124">
        <v>2.5</v>
      </c>
      <c r="C19">
        <f>Nombre_de_Uph_final__compartiments__par_Uph_final__compartiments__2020__2[[#This Row],[Nombre de Uph_final (compartiments)]]+Nombre_de_Uph_final__compartiments__par_Uph_final__compartiments__2019__2[[#This Row],[Nombre de Uph final (compartiments)]]</f>
        <v>2236710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I13" sqref="I13"/>
    </sheetView>
  </sheetViews>
  <sheetFormatPr baseColWidth="10" defaultRowHeight="15" x14ac:dyDescent="0.25"/>
  <cols>
    <col min="1" max="1" width="37.7109375" bestFit="1" customWidth="1"/>
    <col min="2" max="2" width="27" bestFit="1" customWidth="1"/>
  </cols>
  <sheetData>
    <row r="1" spans="1:2" x14ac:dyDescent="0.25">
      <c r="A1" t="s">
        <v>381</v>
      </c>
      <c r="B1" t="s">
        <v>382</v>
      </c>
    </row>
    <row r="2" spans="1:2" x14ac:dyDescent="0.25">
      <c r="A2">
        <v>233453</v>
      </c>
      <c r="B2" s="124">
        <v>0.15</v>
      </c>
    </row>
    <row r="3" spans="1:2" x14ac:dyDescent="0.25">
      <c r="A3">
        <v>792395</v>
      </c>
      <c r="B3" s="124">
        <v>0.2</v>
      </c>
    </row>
    <row r="4" spans="1:2" x14ac:dyDescent="0.25">
      <c r="A4">
        <v>624376</v>
      </c>
      <c r="B4" s="124">
        <v>0.25</v>
      </c>
    </row>
    <row r="5" spans="1:2" x14ac:dyDescent="0.25">
      <c r="A5">
        <v>403325</v>
      </c>
      <c r="B5" s="124">
        <v>0.3</v>
      </c>
    </row>
    <row r="6" spans="1:2" x14ac:dyDescent="0.25">
      <c r="A6">
        <v>66973</v>
      </c>
      <c r="B6" s="124">
        <v>0.35</v>
      </c>
    </row>
    <row r="7" spans="1:2" x14ac:dyDescent="0.25">
      <c r="A7">
        <v>411585</v>
      </c>
      <c r="B7" s="124">
        <v>0.4</v>
      </c>
    </row>
    <row r="8" spans="1:2" x14ac:dyDescent="0.25">
      <c r="A8">
        <v>172274</v>
      </c>
      <c r="B8" s="124">
        <v>0.5</v>
      </c>
    </row>
    <row r="9" spans="1:2" x14ac:dyDescent="0.25">
      <c r="A9">
        <v>32089</v>
      </c>
      <c r="B9" s="124">
        <v>0.55000000000000004</v>
      </c>
    </row>
    <row r="10" spans="1:2" x14ac:dyDescent="0.25">
      <c r="A10">
        <v>109840</v>
      </c>
      <c r="B10" s="124">
        <v>0.6</v>
      </c>
    </row>
    <row r="11" spans="1:2" x14ac:dyDescent="0.25">
      <c r="A11">
        <v>11474</v>
      </c>
      <c r="B11" s="124">
        <v>0.7</v>
      </c>
    </row>
    <row r="12" spans="1:2" x14ac:dyDescent="0.25">
      <c r="A12">
        <v>18786</v>
      </c>
      <c r="B12" s="124">
        <v>0.75</v>
      </c>
    </row>
    <row r="13" spans="1:2" x14ac:dyDescent="0.25">
      <c r="A13">
        <v>8942</v>
      </c>
      <c r="B13" s="124">
        <v>0.8</v>
      </c>
    </row>
    <row r="14" spans="1:2" x14ac:dyDescent="0.25">
      <c r="A14">
        <v>12552</v>
      </c>
      <c r="B14" s="124" t="s">
        <v>369</v>
      </c>
    </row>
    <row r="15" spans="1:2" x14ac:dyDescent="0.25">
      <c r="A15">
        <v>183361</v>
      </c>
      <c r="B15" s="124">
        <v>1.2</v>
      </c>
    </row>
    <row r="16" spans="1:2" x14ac:dyDescent="0.25">
      <c r="A16">
        <v>100058</v>
      </c>
      <c r="B16" s="124">
        <v>1.45</v>
      </c>
    </row>
    <row r="17" spans="1:2" x14ac:dyDescent="0.25">
      <c r="A17">
        <v>51733</v>
      </c>
      <c r="B17" s="124" t="s">
        <v>370</v>
      </c>
    </row>
    <row r="18" spans="1:2" x14ac:dyDescent="0.25">
      <c r="A18">
        <v>776569</v>
      </c>
      <c r="B18" s="124">
        <v>2.2999999999999998</v>
      </c>
    </row>
    <row r="19" spans="1:2" x14ac:dyDescent="0.25">
      <c r="A19">
        <v>1241202</v>
      </c>
      <c r="B19" s="124">
        <v>2.5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96"/>
  <sheetViews>
    <sheetView topLeftCell="A183" zoomScaleNormal="100" workbookViewId="0">
      <selection activeCell="C185" sqref="C185"/>
    </sheetView>
  </sheetViews>
  <sheetFormatPr baseColWidth="10" defaultRowHeight="15" x14ac:dyDescent="0.25"/>
  <cols>
    <col min="1" max="1" width="35" customWidth="1"/>
    <col min="2" max="2" width="24" customWidth="1"/>
    <col min="3" max="6" width="24.7109375" customWidth="1"/>
    <col min="7" max="7" width="21.140625" customWidth="1"/>
    <col min="8" max="8" width="17.140625" customWidth="1"/>
    <col min="9" max="9" width="13.5703125" customWidth="1"/>
    <col min="10" max="10" width="14.42578125" customWidth="1"/>
    <col min="11" max="11" width="17.140625" customWidth="1"/>
    <col min="16" max="16" width="18.85546875" customWidth="1"/>
  </cols>
  <sheetData>
    <row r="2" spans="1:5" ht="15.75" x14ac:dyDescent="0.25">
      <c r="A2" s="60" t="s">
        <v>148</v>
      </c>
    </row>
    <row r="4" spans="1:5" x14ac:dyDescent="0.25">
      <c r="A4" s="59" t="s">
        <v>149</v>
      </c>
    </row>
    <row r="6" spans="1:5" ht="45" x14ac:dyDescent="0.25">
      <c r="A6" s="17" t="s">
        <v>153</v>
      </c>
      <c r="B6" s="16" t="s">
        <v>89</v>
      </c>
      <c r="C6" s="16" t="s">
        <v>78</v>
      </c>
      <c r="D6" s="16" t="s">
        <v>79</v>
      </c>
      <c r="E6" s="17" t="s">
        <v>90</v>
      </c>
    </row>
    <row r="7" spans="1:5" x14ac:dyDescent="0.25">
      <c r="A7" s="16" t="s">
        <v>152</v>
      </c>
      <c r="B7" s="16">
        <v>0.6</v>
      </c>
      <c r="C7" s="16">
        <v>0.28999999999999998</v>
      </c>
      <c r="D7" s="16">
        <v>0.11</v>
      </c>
      <c r="E7" s="16"/>
    </row>
    <row r="8" spans="1:5" x14ac:dyDescent="0.25">
      <c r="A8" s="16" t="s">
        <v>81</v>
      </c>
      <c r="B8" s="16">
        <v>2.5</v>
      </c>
      <c r="C8" s="16">
        <v>2.5</v>
      </c>
      <c r="D8" s="16">
        <v>2.5</v>
      </c>
      <c r="E8" s="61">
        <v>2.5</v>
      </c>
    </row>
    <row r="9" spans="1:5" x14ac:dyDescent="0.25">
      <c r="A9" s="16" t="s">
        <v>82</v>
      </c>
      <c r="B9" s="16">
        <v>0.5</v>
      </c>
      <c r="C9" s="16">
        <v>0.53</v>
      </c>
      <c r="D9" s="16">
        <v>0.56000000000000005</v>
      </c>
      <c r="E9" s="61">
        <f t="shared" ref="E9:E15" si="0">B9*$B$7+C9*$C$7+D9*$D$7</f>
        <v>0.51529999999999998</v>
      </c>
    </row>
    <row r="10" spans="1:5" x14ac:dyDescent="0.25">
      <c r="A10" s="16" t="s">
        <v>83</v>
      </c>
      <c r="B10" s="16">
        <v>0.45</v>
      </c>
      <c r="C10" s="16">
        <v>0.47</v>
      </c>
      <c r="D10" s="16">
        <v>0.5</v>
      </c>
      <c r="E10" s="61">
        <f t="shared" si="0"/>
        <v>0.46129999999999999</v>
      </c>
    </row>
    <row r="11" spans="1:5" x14ac:dyDescent="0.25">
      <c r="A11" s="16" t="s">
        <v>84</v>
      </c>
      <c r="B11" s="16">
        <v>0.3</v>
      </c>
      <c r="C11" s="16">
        <v>0.32</v>
      </c>
      <c r="D11" s="16">
        <v>0.33</v>
      </c>
      <c r="E11" s="61">
        <f t="shared" si="0"/>
        <v>0.30909999999999999</v>
      </c>
    </row>
    <row r="12" spans="1:5" x14ac:dyDescent="0.25">
      <c r="A12" s="16" t="s">
        <v>85</v>
      </c>
      <c r="B12" s="16">
        <v>0.25</v>
      </c>
      <c r="C12" s="16">
        <v>0.26</v>
      </c>
      <c r="D12" s="16">
        <v>0.3</v>
      </c>
      <c r="E12" s="61">
        <f t="shared" si="0"/>
        <v>0.25839999999999996</v>
      </c>
    </row>
    <row r="13" spans="1:5" x14ac:dyDescent="0.25">
      <c r="A13" s="18" t="s">
        <v>88</v>
      </c>
      <c r="B13" s="16">
        <v>0.23</v>
      </c>
      <c r="C13" s="16">
        <v>0.23</v>
      </c>
      <c r="D13" s="16">
        <v>0.3</v>
      </c>
      <c r="E13" s="61">
        <f t="shared" si="0"/>
        <v>0.23769999999999999</v>
      </c>
    </row>
    <row r="14" spans="1:5" x14ac:dyDescent="0.25">
      <c r="A14" s="18" t="s">
        <v>87</v>
      </c>
      <c r="B14" s="16">
        <v>0.2</v>
      </c>
      <c r="C14" s="16">
        <v>0.2</v>
      </c>
      <c r="D14" s="16">
        <v>0.25</v>
      </c>
      <c r="E14" s="61">
        <f t="shared" si="0"/>
        <v>0.20549999999999999</v>
      </c>
    </row>
    <row r="15" spans="1:5" x14ac:dyDescent="0.25">
      <c r="A15" s="16" t="s">
        <v>86</v>
      </c>
      <c r="B15" s="16">
        <v>0.14000000000000001</v>
      </c>
      <c r="C15" s="16">
        <v>0.14000000000000001</v>
      </c>
      <c r="D15" s="16">
        <v>0.14000000000000001</v>
      </c>
      <c r="E15" s="61">
        <f t="shared" si="0"/>
        <v>0.14000000000000001</v>
      </c>
    </row>
    <row r="16" spans="1:5" x14ac:dyDescent="0.25">
      <c r="A16" s="62"/>
      <c r="B16" s="62"/>
      <c r="C16" s="62"/>
      <c r="D16" s="62"/>
      <c r="E16" s="63"/>
    </row>
    <row r="17" spans="1:28" ht="128.44999999999999" customHeight="1" x14ac:dyDescent="0.25">
      <c r="A17" s="51"/>
      <c r="B17" s="52" t="s">
        <v>118</v>
      </c>
      <c r="C17" s="52" t="s">
        <v>139</v>
      </c>
      <c r="D17" s="53" t="s">
        <v>316</v>
      </c>
      <c r="E17" s="53" t="s">
        <v>317</v>
      </c>
      <c r="K17" s="19"/>
      <c r="L17" s="19"/>
      <c r="M17" s="19"/>
      <c r="N17" s="19"/>
      <c r="O17" s="19"/>
      <c r="P17" s="19"/>
      <c r="Q17" s="19"/>
      <c r="R17" s="38"/>
      <c r="S17" s="38"/>
      <c r="T17" s="38"/>
      <c r="U17" s="38"/>
    </row>
    <row r="18" spans="1:28" x14ac:dyDescent="0.25">
      <c r="A18" s="54" t="s">
        <v>124</v>
      </c>
      <c r="B18" s="51" t="s">
        <v>1</v>
      </c>
      <c r="C18" s="51">
        <v>3.6</v>
      </c>
      <c r="D18" s="54">
        <f>E8</f>
        <v>2.5</v>
      </c>
      <c r="E18" s="51">
        <f>D18*0.5+0.5</f>
        <v>1.75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</row>
    <row r="19" spans="1:28" x14ac:dyDescent="0.25">
      <c r="A19" s="54" t="s">
        <v>125</v>
      </c>
      <c r="B19" s="51" t="s">
        <v>1</v>
      </c>
      <c r="C19" s="51">
        <v>3.3</v>
      </c>
      <c r="D19" s="54">
        <f>E8</f>
        <v>2.5</v>
      </c>
      <c r="E19" s="51">
        <f t="shared" ref="E19:E28" si="1">D19*0.5+0.5</f>
        <v>1.75</v>
      </c>
      <c r="F19" s="1"/>
      <c r="G19" s="1"/>
      <c r="H19" s="1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Z19" s="1"/>
      <c r="AA19" s="1"/>
      <c r="AB19" s="1"/>
    </row>
    <row r="20" spans="1:28" x14ac:dyDescent="0.25">
      <c r="A20" s="54" t="s">
        <v>126</v>
      </c>
      <c r="B20" s="51" t="s">
        <v>1</v>
      </c>
      <c r="C20" s="51">
        <v>3.1</v>
      </c>
      <c r="D20" s="54">
        <f>E8</f>
        <v>2.5</v>
      </c>
      <c r="E20" s="51">
        <f t="shared" si="1"/>
        <v>1.75</v>
      </c>
      <c r="F20" s="1"/>
      <c r="G20" s="1"/>
      <c r="H20" s="1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</row>
    <row r="21" spans="1:28" x14ac:dyDescent="0.25">
      <c r="A21" s="54" t="s">
        <v>127</v>
      </c>
      <c r="B21" s="51" t="s">
        <v>1</v>
      </c>
      <c r="C21" s="51">
        <v>16.600000000000001</v>
      </c>
      <c r="D21" s="54">
        <f>E8</f>
        <v>2.5</v>
      </c>
      <c r="E21" s="51">
        <f t="shared" si="1"/>
        <v>1.75</v>
      </c>
      <c r="F21" s="1"/>
      <c r="G21" s="1"/>
      <c r="H21" s="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</row>
    <row r="22" spans="1:28" x14ac:dyDescent="0.25">
      <c r="A22" s="54" t="s">
        <v>119</v>
      </c>
      <c r="B22" s="51" t="s">
        <v>11</v>
      </c>
      <c r="C22" s="51">
        <v>3.2</v>
      </c>
      <c r="D22" s="54">
        <f t="shared" ref="D22:D28" si="2">$E$8</f>
        <v>2.5</v>
      </c>
      <c r="E22" s="51">
        <f t="shared" si="1"/>
        <v>1.75</v>
      </c>
      <c r="F22" s="1"/>
      <c r="G22" s="1"/>
      <c r="H22" s="1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</row>
    <row r="23" spans="1:28" x14ac:dyDescent="0.25">
      <c r="A23" s="54" t="s">
        <v>128</v>
      </c>
      <c r="B23" s="51" t="s">
        <v>11</v>
      </c>
      <c r="C23" s="51">
        <v>0.45</v>
      </c>
      <c r="D23" s="54">
        <f t="shared" si="2"/>
        <v>2.5</v>
      </c>
      <c r="E23" s="51">
        <f t="shared" si="1"/>
        <v>1.75</v>
      </c>
      <c r="F23" s="1"/>
      <c r="G23" s="1"/>
      <c r="H23" s="1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</row>
    <row r="24" spans="1:28" x14ac:dyDescent="0.25">
      <c r="A24" s="54" t="s">
        <v>129</v>
      </c>
      <c r="B24" s="51" t="s">
        <v>11</v>
      </c>
      <c r="C24" s="51">
        <v>3.9</v>
      </c>
      <c r="D24" s="54">
        <f t="shared" si="2"/>
        <v>2.5</v>
      </c>
      <c r="E24" s="51">
        <f t="shared" si="1"/>
        <v>1.75</v>
      </c>
      <c r="F24" s="20"/>
      <c r="G24" s="1"/>
      <c r="H24" s="1"/>
      <c r="K24" s="42"/>
      <c r="L24" s="42"/>
      <c r="M24" s="43"/>
      <c r="N24" s="43"/>
      <c r="O24" s="44"/>
      <c r="P24" s="44"/>
      <c r="Q24" s="45"/>
      <c r="R24" s="46"/>
      <c r="S24" s="46"/>
      <c r="T24" s="46"/>
      <c r="U24" s="47"/>
    </row>
    <row r="25" spans="1:28" ht="30" x14ac:dyDescent="0.25">
      <c r="A25" s="54" t="s">
        <v>130</v>
      </c>
      <c r="B25" s="51" t="s">
        <v>68</v>
      </c>
      <c r="C25" s="51">
        <v>7.1</v>
      </c>
      <c r="D25" s="54">
        <f t="shared" si="2"/>
        <v>2.5</v>
      </c>
      <c r="E25" s="51">
        <f t="shared" si="1"/>
        <v>1.75</v>
      </c>
      <c r="F25" s="20"/>
      <c r="G25" s="1"/>
      <c r="H25" s="1"/>
      <c r="K25" s="42"/>
      <c r="L25" s="42"/>
      <c r="M25" s="42"/>
      <c r="N25" s="42"/>
      <c r="O25" s="42"/>
      <c r="P25" s="42"/>
      <c r="Q25" s="45"/>
      <c r="R25" s="42"/>
      <c r="S25" s="42"/>
      <c r="T25" s="42"/>
      <c r="U25" s="42"/>
    </row>
    <row r="26" spans="1:28" x14ac:dyDescent="0.25">
      <c r="A26" s="54" t="s">
        <v>131</v>
      </c>
      <c r="B26" s="51" t="s">
        <v>68</v>
      </c>
      <c r="C26" s="51">
        <v>4.8</v>
      </c>
      <c r="D26" s="54">
        <f t="shared" si="2"/>
        <v>2.5</v>
      </c>
      <c r="E26" s="51">
        <f t="shared" si="1"/>
        <v>1.75</v>
      </c>
      <c r="F26" s="20"/>
      <c r="G26" s="1"/>
      <c r="H26" s="1"/>
      <c r="K26" s="42"/>
      <c r="L26" s="42"/>
      <c r="M26" s="44"/>
      <c r="N26" s="42"/>
      <c r="O26" s="42"/>
      <c r="P26" s="42"/>
      <c r="Q26" s="45"/>
      <c r="R26" s="42"/>
      <c r="S26" s="42"/>
      <c r="T26" s="42"/>
      <c r="U26" s="42"/>
    </row>
    <row r="27" spans="1:28" ht="30" x14ac:dyDescent="0.25">
      <c r="A27" s="54" t="s">
        <v>132</v>
      </c>
      <c r="B27" s="51" t="s">
        <v>30</v>
      </c>
      <c r="C27" s="51">
        <v>5.0999999999999996</v>
      </c>
      <c r="D27" s="54">
        <f t="shared" si="2"/>
        <v>2.5</v>
      </c>
      <c r="E27" s="51">
        <f t="shared" si="1"/>
        <v>1.75</v>
      </c>
      <c r="F27" s="20"/>
      <c r="G27" s="1"/>
      <c r="H27" s="1"/>
      <c r="K27" s="42"/>
      <c r="L27" s="42"/>
      <c r="M27" s="42"/>
      <c r="N27" s="42"/>
      <c r="O27" s="42"/>
      <c r="P27" s="42"/>
      <c r="Q27" s="45"/>
      <c r="R27" s="42"/>
      <c r="S27" s="42"/>
      <c r="T27" s="42"/>
      <c r="U27" s="42"/>
    </row>
    <row r="28" spans="1:28" ht="30" x14ac:dyDescent="0.25">
      <c r="A28" s="54" t="s">
        <v>133</v>
      </c>
      <c r="B28" s="51" t="s">
        <v>30</v>
      </c>
      <c r="C28" s="51">
        <v>2.2999999999999998</v>
      </c>
      <c r="D28" s="54">
        <f t="shared" si="2"/>
        <v>2.5</v>
      </c>
      <c r="E28" s="51">
        <f t="shared" si="1"/>
        <v>1.75</v>
      </c>
      <c r="F28" s="20"/>
      <c r="G28" s="1"/>
      <c r="H28" s="1"/>
      <c r="K28" s="42"/>
      <c r="L28" s="42"/>
      <c r="M28" s="42"/>
      <c r="N28" s="42"/>
      <c r="O28" s="42"/>
      <c r="P28" s="42"/>
      <c r="Q28" s="45"/>
      <c r="R28" s="42"/>
      <c r="S28" s="42"/>
      <c r="T28" s="42"/>
      <c r="U28" s="42"/>
    </row>
    <row r="29" spans="1:28" ht="30" x14ac:dyDescent="0.25">
      <c r="A29" s="54" t="s">
        <v>134</v>
      </c>
      <c r="B29" s="51" t="s">
        <v>44</v>
      </c>
      <c r="C29" s="51">
        <v>7.7</v>
      </c>
      <c r="D29" s="55">
        <f>SUM(E9:E10)/2</f>
        <v>0.48829999999999996</v>
      </c>
      <c r="E29" s="55">
        <f>D29</f>
        <v>0.48829999999999996</v>
      </c>
      <c r="F29" s="20"/>
      <c r="G29" s="1"/>
      <c r="H29" s="1"/>
      <c r="K29" s="42"/>
      <c r="L29" s="42"/>
      <c r="M29" s="42"/>
      <c r="N29" s="42"/>
      <c r="O29" s="42"/>
      <c r="P29" s="42"/>
      <c r="Q29" s="45"/>
      <c r="R29" s="42"/>
      <c r="S29" s="42"/>
      <c r="T29" s="42"/>
      <c r="U29" s="42"/>
    </row>
    <row r="30" spans="1:28" x14ac:dyDescent="0.25">
      <c r="A30" s="54" t="s">
        <v>69</v>
      </c>
      <c r="B30" s="51" t="s">
        <v>44</v>
      </c>
      <c r="C30" s="51">
        <v>3.1</v>
      </c>
      <c r="D30" s="55">
        <f>D29</f>
        <v>0.48829999999999996</v>
      </c>
      <c r="E30" s="55">
        <f t="shared" ref="E30:E34" si="3">D30</f>
        <v>0.48829999999999996</v>
      </c>
      <c r="F30" s="20"/>
      <c r="G30" s="1"/>
      <c r="H30" s="1"/>
      <c r="K30" s="42"/>
      <c r="L30" s="42"/>
      <c r="M30" s="42"/>
      <c r="N30" s="42"/>
      <c r="O30" s="42"/>
      <c r="P30" s="42"/>
      <c r="Q30" s="45"/>
      <c r="R30" s="42"/>
      <c r="S30" s="42"/>
      <c r="T30" s="42"/>
      <c r="U30" s="42"/>
    </row>
    <row r="31" spans="1:28" x14ac:dyDescent="0.25">
      <c r="A31" s="54" t="s">
        <v>135</v>
      </c>
      <c r="B31" s="51" t="s">
        <v>50</v>
      </c>
      <c r="C31" s="51">
        <v>9.9</v>
      </c>
      <c r="D31" s="55">
        <f>E11</f>
        <v>0.30909999999999999</v>
      </c>
      <c r="E31" s="55">
        <f t="shared" si="3"/>
        <v>0.30909999999999999</v>
      </c>
      <c r="F31" s="20"/>
      <c r="G31" s="1"/>
      <c r="H31" s="1"/>
      <c r="K31" s="42"/>
      <c r="L31" s="42"/>
      <c r="M31" s="42"/>
      <c r="N31" s="42"/>
      <c r="O31" s="42"/>
      <c r="P31" s="42"/>
      <c r="Q31" s="45"/>
      <c r="R31" s="42"/>
      <c r="S31" s="42"/>
      <c r="T31" s="42"/>
      <c r="U31" s="42"/>
    </row>
    <row r="32" spans="1:28" x14ac:dyDescent="0.25">
      <c r="A32" s="54" t="s">
        <v>136</v>
      </c>
      <c r="B32" s="51" t="s">
        <v>56</v>
      </c>
      <c r="C32" s="51">
        <v>9.6</v>
      </c>
      <c r="D32" s="55">
        <f>E12</f>
        <v>0.25839999999999996</v>
      </c>
      <c r="E32" s="55">
        <f t="shared" si="3"/>
        <v>0.25839999999999996</v>
      </c>
      <c r="F32" s="20"/>
      <c r="G32" s="1"/>
      <c r="H32" s="1"/>
      <c r="K32" s="42"/>
      <c r="L32" s="42"/>
      <c r="M32" s="42"/>
      <c r="N32" s="42"/>
      <c r="O32" s="42"/>
      <c r="P32" s="42"/>
      <c r="Q32" s="45"/>
      <c r="R32" s="42"/>
      <c r="S32" s="42"/>
      <c r="T32" s="42"/>
      <c r="U32" s="42"/>
    </row>
    <row r="33" spans="1:25" x14ac:dyDescent="0.25">
      <c r="A33" s="54" t="s">
        <v>137</v>
      </c>
      <c r="B33" s="51" t="s">
        <v>62</v>
      </c>
      <c r="C33" s="51">
        <v>5.5</v>
      </c>
      <c r="D33" s="55">
        <f>E13</f>
        <v>0.23769999999999999</v>
      </c>
      <c r="E33" s="55">
        <f t="shared" si="3"/>
        <v>0.23769999999999999</v>
      </c>
      <c r="F33" s="20"/>
      <c r="G33" s="1"/>
      <c r="H33" s="1"/>
      <c r="K33" s="42"/>
      <c r="L33" s="42"/>
      <c r="M33" s="42"/>
      <c r="N33" s="42"/>
      <c r="O33" s="42"/>
      <c r="P33" s="42"/>
      <c r="Q33" s="45"/>
      <c r="R33" s="42"/>
      <c r="S33" s="42"/>
      <c r="T33" s="42"/>
      <c r="U33" s="42"/>
    </row>
    <row r="34" spans="1:25" ht="18" customHeight="1" x14ac:dyDescent="0.25">
      <c r="A34" s="54" t="s">
        <v>138</v>
      </c>
      <c r="B34" s="51" t="s">
        <v>64</v>
      </c>
      <c r="C34" s="51">
        <v>11</v>
      </c>
      <c r="D34" s="55">
        <f>SUM(E14:E15)/2</f>
        <v>0.17275000000000001</v>
      </c>
      <c r="E34" s="55">
        <f t="shared" si="3"/>
        <v>0.17275000000000001</v>
      </c>
      <c r="F34" s="20"/>
      <c r="G34" s="1"/>
      <c r="H34" s="1"/>
      <c r="I34" s="1"/>
      <c r="J34" s="1"/>
      <c r="K34" s="1"/>
      <c r="O34" s="42"/>
      <c r="P34" s="42"/>
      <c r="Q34" s="42"/>
      <c r="R34" s="42"/>
      <c r="S34" s="42"/>
      <c r="T34" s="42"/>
      <c r="U34" s="45"/>
      <c r="V34" s="42"/>
      <c r="W34" s="42"/>
      <c r="X34" s="42"/>
      <c r="Y34" s="42"/>
    </row>
    <row r="35" spans="1:25" x14ac:dyDescent="0.25">
      <c r="A35" s="15"/>
      <c r="B35" s="15"/>
      <c r="C35" s="15"/>
      <c r="D35" s="15"/>
      <c r="E35" s="15"/>
      <c r="F35" s="15"/>
      <c r="G35" s="15"/>
      <c r="H35" s="15"/>
      <c r="I35" s="15"/>
    </row>
    <row r="37" spans="1:25" ht="49.5" customHeight="1" x14ac:dyDescent="0.25">
      <c r="A37" s="129" t="s">
        <v>147</v>
      </c>
      <c r="B37" s="129"/>
      <c r="C37" s="129"/>
      <c r="D37" s="129"/>
      <c r="E37" s="129"/>
    </row>
    <row r="39" spans="1:25" x14ac:dyDescent="0.25">
      <c r="A39" s="56"/>
      <c r="B39" s="128" t="s">
        <v>142</v>
      </c>
      <c r="C39" s="128"/>
      <c r="D39" s="128"/>
      <c r="E39" s="128"/>
    </row>
    <row r="40" spans="1:25" ht="18.75" x14ac:dyDescent="0.25">
      <c r="A40" s="56"/>
      <c r="B40" s="57" t="s">
        <v>143</v>
      </c>
      <c r="C40" s="57" t="s">
        <v>144</v>
      </c>
      <c r="D40" s="57" t="s">
        <v>145</v>
      </c>
      <c r="E40" s="57" t="s">
        <v>146</v>
      </c>
    </row>
    <row r="41" spans="1:25" ht="30" x14ac:dyDescent="0.25">
      <c r="A41" s="56" t="s">
        <v>140</v>
      </c>
      <c r="B41" s="58">
        <f>SUMPRODUCT(D18:D28,C18:C28)/SUM(C18:C28)</f>
        <v>2.5</v>
      </c>
      <c r="C41" s="58">
        <f>SUMPRODUCT(D18:D31,C18:C31)/SUM(C18:C31)</f>
        <v>1.9144805124747133</v>
      </c>
      <c r="D41" s="72">
        <f>SUMPRODUCT(D18:D32,C18:C32)/SUM(C18:C32)</f>
        <v>1.7246491940298507</v>
      </c>
      <c r="E41" s="58">
        <f>SUMPRODUCT(D18:D33,C18:C33)/SUM(C18:C33)</f>
        <v>1.6330164705882355</v>
      </c>
    </row>
    <row r="42" spans="1:25" ht="30" x14ac:dyDescent="0.25">
      <c r="A42" s="56" t="s">
        <v>141</v>
      </c>
      <c r="B42" s="58">
        <f>SUMPRODUCT(E18:E28,C18:C28)/SUM(C18:C28)</f>
        <v>1.7500000000000007</v>
      </c>
      <c r="C42" s="58">
        <f>SUMPRODUCT(E18:E31,C18:C31)/SUM(C18:C31)</f>
        <v>1.3738534052596092</v>
      </c>
      <c r="D42" s="72">
        <f>SUMPRODUCT(E18:E32,C18:C32)/SUM(C18:C32)</f>
        <v>1.2459924776119404</v>
      </c>
      <c r="E42" s="58">
        <f>SUMPRODUCT(E18:E33,C18:C33)/SUM(C18:C33)</f>
        <v>1.1838568067226893</v>
      </c>
    </row>
    <row r="45" spans="1:25" ht="15.75" x14ac:dyDescent="0.25">
      <c r="A45" s="60" t="s">
        <v>150</v>
      </c>
    </row>
    <row r="61" spans="1:2" ht="30" x14ac:dyDescent="0.25">
      <c r="A61" s="70" t="s">
        <v>312</v>
      </c>
      <c r="B61" s="65">
        <f>AVERAGE(Extract_Uinit_ADEME!C2:C147)</f>
        <v>1.6579482460998134</v>
      </c>
    </row>
    <row r="62" spans="1:2" ht="30" x14ac:dyDescent="0.25">
      <c r="A62" s="70" t="s">
        <v>313</v>
      </c>
      <c r="B62" s="71">
        <f>Extract_Uinit_ADEME!N6</f>
        <v>1.4761929623444725</v>
      </c>
    </row>
    <row r="66" spans="1:1" ht="15.75" x14ac:dyDescent="0.25">
      <c r="A66" s="60" t="s">
        <v>151</v>
      </c>
    </row>
    <row r="68" spans="1:1" x14ac:dyDescent="0.25">
      <c r="A68" t="s">
        <v>154</v>
      </c>
    </row>
    <row r="69" spans="1:1" x14ac:dyDescent="0.25">
      <c r="A69" s="64" t="s">
        <v>155</v>
      </c>
    </row>
    <row r="100" spans="1:2" ht="30" x14ac:dyDescent="0.25">
      <c r="A100" s="67" t="s">
        <v>156</v>
      </c>
      <c r="B100" s="68">
        <v>2.5</v>
      </c>
    </row>
    <row r="101" spans="1:2" x14ac:dyDescent="0.25">
      <c r="A101" s="69" t="s">
        <v>157</v>
      </c>
      <c r="B101" s="73">
        <f>1/(0.14+B100)</f>
        <v>0.37878787878787878</v>
      </c>
    </row>
    <row r="103" spans="1:2" hidden="1" x14ac:dyDescent="0.25">
      <c r="A103">
        <v>0.5</v>
      </c>
      <c r="B103">
        <v>22</v>
      </c>
    </row>
    <row r="104" spans="1:2" hidden="1" x14ac:dyDescent="0.25">
      <c r="A104">
        <v>1</v>
      </c>
      <c r="B104">
        <v>12</v>
      </c>
    </row>
    <row r="105" spans="1:2" hidden="1" x14ac:dyDescent="0.25">
      <c r="A105">
        <v>1.5</v>
      </c>
      <c r="B105">
        <v>7</v>
      </c>
    </row>
    <row r="106" spans="1:2" hidden="1" x14ac:dyDescent="0.25">
      <c r="A106">
        <v>2</v>
      </c>
      <c r="B106">
        <v>18</v>
      </c>
    </row>
    <row r="107" spans="1:2" hidden="1" x14ac:dyDescent="0.25">
      <c r="A107">
        <v>2.5</v>
      </c>
      <c r="B107">
        <v>15</v>
      </c>
    </row>
    <row r="108" spans="1:2" hidden="1" x14ac:dyDescent="0.25">
      <c r="A108">
        <v>3</v>
      </c>
      <c r="B108">
        <v>10</v>
      </c>
    </row>
    <row r="109" spans="1:2" hidden="1" x14ac:dyDescent="0.25">
      <c r="A109">
        <v>3.5</v>
      </c>
      <c r="B109">
        <v>8</v>
      </c>
    </row>
    <row r="110" spans="1:2" hidden="1" x14ac:dyDescent="0.25">
      <c r="A110">
        <v>4</v>
      </c>
      <c r="B110">
        <v>11</v>
      </c>
    </row>
    <row r="111" spans="1:2" hidden="1" x14ac:dyDescent="0.25">
      <c r="A111">
        <v>4.5</v>
      </c>
      <c r="B111">
        <v>4</v>
      </c>
    </row>
    <row r="112" spans="1:2" hidden="1" x14ac:dyDescent="0.25">
      <c r="A112">
        <v>5</v>
      </c>
      <c r="B112">
        <v>6</v>
      </c>
    </row>
    <row r="113" spans="1:2" hidden="1" x14ac:dyDescent="0.25">
      <c r="A113">
        <v>5.5</v>
      </c>
      <c r="B113">
        <v>5</v>
      </c>
    </row>
    <row r="114" spans="1:2" hidden="1" x14ac:dyDescent="0.25">
      <c r="A114">
        <v>6</v>
      </c>
      <c r="B114">
        <v>2</v>
      </c>
    </row>
    <row r="115" spans="1:2" hidden="1" x14ac:dyDescent="0.25">
      <c r="A115">
        <v>6.5</v>
      </c>
      <c r="B115">
        <v>3</v>
      </c>
    </row>
    <row r="116" spans="1:2" hidden="1" x14ac:dyDescent="0.25">
      <c r="A116">
        <v>7</v>
      </c>
      <c r="B116">
        <v>1</v>
      </c>
    </row>
    <row r="117" spans="1:2" hidden="1" x14ac:dyDescent="0.25">
      <c r="A117">
        <v>7.5</v>
      </c>
      <c r="B117">
        <v>3</v>
      </c>
    </row>
    <row r="144" spans="1:1" ht="15.75" x14ac:dyDescent="0.25">
      <c r="A144" s="60" t="s">
        <v>358</v>
      </c>
    </row>
    <row r="145" spans="1:3" x14ac:dyDescent="0.25">
      <c r="A145" t="s">
        <v>359</v>
      </c>
    </row>
    <row r="146" spans="1:3" x14ac:dyDescent="0.25">
      <c r="A146" t="s">
        <v>360</v>
      </c>
    </row>
    <row r="147" spans="1:3" x14ac:dyDescent="0.25">
      <c r="A147" t="s">
        <v>361</v>
      </c>
    </row>
    <row r="149" spans="1:3" x14ac:dyDescent="0.25">
      <c r="A149" t="s">
        <v>367</v>
      </c>
      <c r="B149" t="s">
        <v>377</v>
      </c>
      <c r="C149" t="s">
        <v>378</v>
      </c>
    </row>
    <row r="150" spans="1:3" x14ac:dyDescent="0.25">
      <c r="A150" s="117" t="s">
        <v>362</v>
      </c>
      <c r="B150" s="118">
        <v>0.55000000000000004</v>
      </c>
      <c r="C150">
        <v>0.49</v>
      </c>
    </row>
    <row r="151" spans="1:3" x14ac:dyDescent="0.25">
      <c r="A151" s="117" t="s">
        <v>363</v>
      </c>
      <c r="B151" s="118">
        <v>1.6</v>
      </c>
      <c r="C151">
        <v>1.61</v>
      </c>
    </row>
    <row r="152" spans="1:3" x14ac:dyDescent="0.25">
      <c r="A152" s="117" t="s">
        <v>364</v>
      </c>
      <c r="B152" s="118">
        <v>1.0900000000000001</v>
      </c>
      <c r="C152">
        <v>1.0900000000000001</v>
      </c>
    </row>
    <row r="153" spans="1:3" x14ac:dyDescent="0.25">
      <c r="A153" s="117" t="s">
        <v>365</v>
      </c>
      <c r="B153" s="118">
        <v>0.87</v>
      </c>
      <c r="C153">
        <v>0.92</v>
      </c>
    </row>
    <row r="154" spans="1:3" x14ac:dyDescent="0.25">
      <c r="A154" s="117" t="s">
        <v>366</v>
      </c>
      <c r="B154" s="118">
        <v>0.94</v>
      </c>
      <c r="C154">
        <v>0.94</v>
      </c>
    </row>
    <row r="156" spans="1:3" x14ac:dyDescent="0.25">
      <c r="A156" s="42" t="s">
        <v>368</v>
      </c>
      <c r="B156" s="42" t="s">
        <v>377</v>
      </c>
      <c r="C156" s="42" t="s">
        <v>378</v>
      </c>
    </row>
    <row r="157" spans="1:3" x14ac:dyDescent="0.25">
      <c r="A157" s="117" t="s">
        <v>362</v>
      </c>
      <c r="B157" s="119">
        <v>2717</v>
      </c>
      <c r="C157" s="42">
        <v>2521</v>
      </c>
    </row>
    <row r="158" spans="1:3" x14ac:dyDescent="0.25">
      <c r="A158" s="117" t="s">
        <v>363</v>
      </c>
      <c r="B158" s="119">
        <v>1620571</v>
      </c>
      <c r="C158" s="42">
        <v>1630806</v>
      </c>
    </row>
    <row r="159" spans="1:3" x14ac:dyDescent="0.25">
      <c r="A159" s="117" t="s">
        <v>364</v>
      </c>
      <c r="B159" s="119">
        <v>1871336</v>
      </c>
      <c r="C159" s="42">
        <v>1832116</v>
      </c>
    </row>
    <row r="160" spans="1:3" x14ac:dyDescent="0.25">
      <c r="A160" s="117" t="s">
        <v>365</v>
      </c>
      <c r="B160" s="119">
        <v>368698</v>
      </c>
      <c r="C160" s="42">
        <v>363839</v>
      </c>
    </row>
    <row r="161" spans="1:3" x14ac:dyDescent="0.25">
      <c r="A161" s="117" t="s">
        <v>366</v>
      </c>
      <c r="B161" s="119">
        <v>1387665</v>
      </c>
      <c r="C161" s="42">
        <v>1453856</v>
      </c>
    </row>
    <row r="163" spans="1:3" x14ac:dyDescent="0.25">
      <c r="A163" s="42" t="s">
        <v>372</v>
      </c>
      <c r="B163" s="42" t="s">
        <v>371</v>
      </c>
    </row>
    <row r="164" spans="1:3" x14ac:dyDescent="0.25">
      <c r="A164" s="120">
        <v>0.15</v>
      </c>
      <c r="B164" s="121">
        <v>421167</v>
      </c>
    </row>
    <row r="165" spans="1:3" x14ac:dyDescent="0.25">
      <c r="A165" s="120">
        <v>0.2</v>
      </c>
      <c r="B165" s="121">
        <v>1047418</v>
      </c>
    </row>
    <row r="166" spans="1:3" x14ac:dyDescent="0.25">
      <c r="A166" s="120">
        <v>0.25</v>
      </c>
      <c r="B166" s="121">
        <v>1031834</v>
      </c>
    </row>
    <row r="167" spans="1:3" x14ac:dyDescent="0.25">
      <c r="A167" s="120">
        <v>0.3</v>
      </c>
      <c r="B167" s="121">
        <v>697557</v>
      </c>
    </row>
    <row r="168" spans="1:3" x14ac:dyDescent="0.25">
      <c r="A168" s="120">
        <v>0.35</v>
      </c>
      <c r="B168" s="121">
        <v>106053</v>
      </c>
    </row>
    <row r="169" spans="1:3" x14ac:dyDescent="0.25">
      <c r="A169" s="120">
        <v>0.4</v>
      </c>
      <c r="B169" s="121">
        <v>794599</v>
      </c>
    </row>
    <row r="170" spans="1:3" x14ac:dyDescent="0.25">
      <c r="A170" s="120">
        <v>0.5</v>
      </c>
      <c r="B170" s="121">
        <v>321916</v>
      </c>
    </row>
    <row r="171" spans="1:3" x14ac:dyDescent="0.25">
      <c r="A171" s="120">
        <v>0.55000000000000004</v>
      </c>
      <c r="B171" s="121">
        <v>59479</v>
      </c>
    </row>
    <row r="172" spans="1:3" x14ac:dyDescent="0.25">
      <c r="A172" s="120">
        <v>0.6</v>
      </c>
      <c r="B172" s="121">
        <v>221596</v>
      </c>
    </row>
    <row r="173" spans="1:3" x14ac:dyDescent="0.25">
      <c r="A173" s="120">
        <v>0.7</v>
      </c>
      <c r="B173" s="121">
        <v>24412</v>
      </c>
    </row>
    <row r="174" spans="1:3" x14ac:dyDescent="0.25">
      <c r="A174" s="120">
        <v>0.75</v>
      </c>
      <c r="B174" s="121">
        <v>35107</v>
      </c>
    </row>
    <row r="175" spans="1:3" x14ac:dyDescent="0.25">
      <c r="A175" s="120">
        <v>0.8</v>
      </c>
      <c r="B175" s="121">
        <v>18462</v>
      </c>
    </row>
    <row r="176" spans="1:3" x14ac:dyDescent="0.25">
      <c r="A176" s="120" t="s">
        <v>369</v>
      </c>
      <c r="B176" s="121">
        <v>23169</v>
      </c>
    </row>
    <row r="177" spans="1:2" x14ac:dyDescent="0.25">
      <c r="A177" s="120">
        <v>1.2</v>
      </c>
      <c r="B177" s="121">
        <v>337179</v>
      </c>
    </row>
    <row r="178" spans="1:2" x14ac:dyDescent="0.25">
      <c r="A178" s="120">
        <v>1.45</v>
      </c>
      <c r="B178" s="121">
        <v>173370</v>
      </c>
    </row>
    <row r="179" spans="1:2" x14ac:dyDescent="0.25">
      <c r="A179" s="120" t="s">
        <v>370</v>
      </c>
      <c r="B179" s="121">
        <v>92261</v>
      </c>
    </row>
    <row r="180" spans="1:2" x14ac:dyDescent="0.25">
      <c r="A180" s="120">
        <v>2.2999999999999998</v>
      </c>
      <c r="B180" s="121">
        <v>1361643</v>
      </c>
    </row>
    <row r="181" spans="1:2" x14ac:dyDescent="0.25">
      <c r="A181" s="122">
        <v>2.5</v>
      </c>
      <c r="B181" s="123">
        <v>2236710</v>
      </c>
    </row>
    <row r="183" spans="1:2" x14ac:dyDescent="0.25">
      <c r="A183" s="24" t="s">
        <v>373</v>
      </c>
      <c r="B183" s="24" t="s">
        <v>379</v>
      </c>
    </row>
    <row r="184" spans="1:2" x14ac:dyDescent="0.25">
      <c r="A184" s="24" t="s">
        <v>375</v>
      </c>
      <c r="B184" s="116">
        <f>SUMPRODUCT(B151:C151,B158:C158)/SUM(B158:C158)</f>
        <v>1.6050157394851472</v>
      </c>
    </row>
    <row r="185" spans="1:2" x14ac:dyDescent="0.25">
      <c r="A185" s="24" t="s">
        <v>374</v>
      </c>
      <c r="B185" s="116">
        <f>SUMPRODUCT(B151:C153,B158:C160)/SUM(B158:C160)</f>
        <v>1.2892287267186187</v>
      </c>
    </row>
    <row r="186" spans="1:2" x14ac:dyDescent="0.25">
      <c r="A186" s="24" t="s">
        <v>376</v>
      </c>
      <c r="B186" s="116">
        <f>SUMPRODUCT(A170:A181,B170:B181)/SUM(B170:B181)</f>
        <v>1.990574386419272</v>
      </c>
    </row>
    <row r="188" spans="1:2" ht="15.75" x14ac:dyDescent="0.25">
      <c r="A188" s="60" t="s">
        <v>314</v>
      </c>
    </row>
    <row r="190" spans="1:2" x14ac:dyDescent="0.25">
      <c r="A190" s="75" t="s">
        <v>315</v>
      </c>
      <c r="B190" s="75" t="s">
        <v>318</v>
      </c>
    </row>
    <row r="191" spans="1:2" x14ac:dyDescent="0.25">
      <c r="A191" s="50" t="s">
        <v>319</v>
      </c>
      <c r="B191" s="50">
        <f>B42</f>
        <v>1.7500000000000007</v>
      </c>
    </row>
    <row r="192" spans="1:2" x14ac:dyDescent="0.25">
      <c r="A192" s="50" t="s">
        <v>320</v>
      </c>
      <c r="B192" s="50">
        <f>B62</f>
        <v>1.4761929623444725</v>
      </c>
    </row>
    <row r="193" spans="1:2" x14ac:dyDescent="0.25">
      <c r="A193" s="50" t="s">
        <v>321</v>
      </c>
      <c r="B193" s="50">
        <f>B101</f>
        <v>0.37878787878787878</v>
      </c>
    </row>
    <row r="194" spans="1:2" x14ac:dyDescent="0.25">
      <c r="A194" s="50" t="s">
        <v>380</v>
      </c>
      <c r="B194" s="50">
        <f>B184</f>
        <v>1.6050157394851472</v>
      </c>
    </row>
    <row r="195" spans="1:2" x14ac:dyDescent="0.25">
      <c r="A195" s="125" t="s">
        <v>322</v>
      </c>
      <c r="B195" s="125">
        <f>B194</f>
        <v>1.6050157394851472</v>
      </c>
    </row>
    <row r="196" spans="1:2" x14ac:dyDescent="0.25">
      <c r="A196" s="74"/>
    </row>
  </sheetData>
  <mergeCells count="2">
    <mergeCell ref="B39:E39"/>
    <mergeCell ref="A37:E37"/>
  </mergeCells>
  <hyperlinks>
    <hyperlink ref="A69" r:id="rId1"/>
  </hyperlinks>
  <pageMargins left="0.7" right="0.7" top="0.75" bottom="0.75" header="0.3" footer="0.3"/>
  <pageSetup paperSize="9" orientation="portrait" verticalDpi="0" r:id="rId2"/>
  <drawing r:id="rId3"/>
  <tableParts count="3"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="70" zoomScaleNormal="70" workbookViewId="0">
      <selection activeCell="D11" sqref="D11"/>
    </sheetView>
  </sheetViews>
  <sheetFormatPr baseColWidth="10" defaultRowHeight="15" x14ac:dyDescent="0.25"/>
  <cols>
    <col min="1" max="1" width="14.85546875" customWidth="1"/>
    <col min="2" max="2" width="64.7109375" customWidth="1"/>
    <col min="3" max="3" width="32.85546875" customWidth="1"/>
    <col min="16" max="16" width="18.42578125" customWidth="1"/>
    <col min="17" max="18" width="25" customWidth="1"/>
    <col min="19" max="19" width="17.7109375" customWidth="1"/>
    <col min="20" max="20" width="21.42578125" customWidth="1"/>
  </cols>
  <sheetData>
    <row r="1" spans="1:16" x14ac:dyDescent="0.25">
      <c r="B1" t="s">
        <v>357</v>
      </c>
    </row>
    <row r="2" spans="1:16" x14ac:dyDescent="0.25">
      <c r="A2" t="s">
        <v>329</v>
      </c>
      <c r="B2" s="113">
        <v>8</v>
      </c>
      <c r="C2" t="s">
        <v>330</v>
      </c>
    </row>
    <row r="3" spans="1:16" x14ac:dyDescent="0.25">
      <c r="A3" s="1" t="s">
        <v>325</v>
      </c>
      <c r="B3" s="114">
        <v>7</v>
      </c>
      <c r="C3" t="s">
        <v>330</v>
      </c>
      <c r="D3" s="1"/>
    </row>
    <row r="4" spans="1:16" x14ac:dyDescent="0.25">
      <c r="A4" s="1"/>
      <c r="B4" s="1"/>
      <c r="C4" s="1"/>
      <c r="D4" s="1"/>
    </row>
    <row r="5" spans="1:16" ht="82.5" customHeight="1" x14ac:dyDescent="0.25">
      <c r="A5" s="49"/>
      <c r="B5" s="76"/>
      <c r="C5" s="111" t="s">
        <v>355</v>
      </c>
      <c r="D5" s="25" t="s">
        <v>328</v>
      </c>
      <c r="E5" s="108"/>
    </row>
    <row r="6" spans="1:16" x14ac:dyDescent="0.25">
      <c r="A6" s="130" t="s">
        <v>324</v>
      </c>
      <c r="B6" s="48" t="s">
        <v>323</v>
      </c>
      <c r="C6" s="48">
        <v>0</v>
      </c>
      <c r="D6" s="66">
        <f>1/(1/'U initial'!$B$195+Ufinal!$B$2)+Ufinal!C6</f>
        <v>0.11596829026269437</v>
      </c>
    </row>
    <row r="7" spans="1:16" x14ac:dyDescent="0.25">
      <c r="A7" s="130"/>
      <c r="B7" s="49" t="s">
        <v>326</v>
      </c>
      <c r="C7" s="49">
        <v>0</v>
      </c>
      <c r="D7" s="66">
        <f>1/(1/'U initial'!$B$195+Ufinal!$B$2)+Ufinal!C7</f>
        <v>0.11596829026269437</v>
      </c>
      <c r="P7" s="21"/>
    </row>
    <row r="8" spans="1:16" x14ac:dyDescent="0.25">
      <c r="A8" s="130"/>
      <c r="B8" s="49" t="s">
        <v>92</v>
      </c>
      <c r="C8" s="49">
        <f>0.02</f>
        <v>0.02</v>
      </c>
      <c r="D8" s="66">
        <f>1/(1/'U initial'!$B$195+Ufinal!$B$2)+Ufinal!C8</f>
        <v>0.13596829026269436</v>
      </c>
      <c r="P8" s="21"/>
    </row>
    <row r="9" spans="1:16" ht="30" x14ac:dyDescent="0.25">
      <c r="A9" s="130"/>
      <c r="B9" s="49" t="s">
        <v>327</v>
      </c>
      <c r="C9" s="49">
        <v>0.01</v>
      </c>
      <c r="D9" s="66">
        <f>1/(1/'U initial'!$B$195+Ufinal!$B$2)+Ufinal!C9</f>
        <v>0.12596829026269438</v>
      </c>
      <c r="P9" s="21"/>
    </row>
    <row r="10" spans="1:16" ht="15" customHeight="1" x14ac:dyDescent="0.25">
      <c r="A10" s="131" t="s">
        <v>325</v>
      </c>
      <c r="B10" s="48" t="s">
        <v>323</v>
      </c>
      <c r="C10" s="49">
        <v>0</v>
      </c>
      <c r="D10" s="66">
        <f>1/(1/'U initial'!$B$195+Ufinal!$B$3)+Ufinal!C10</f>
        <v>0.13118114314830961</v>
      </c>
      <c r="P10" s="1"/>
    </row>
    <row r="11" spans="1:16" x14ac:dyDescent="0.25">
      <c r="A11" s="131"/>
      <c r="B11" s="49" t="s">
        <v>356</v>
      </c>
      <c r="C11" s="49">
        <v>7.0000000000000007E-2</v>
      </c>
      <c r="D11" s="66">
        <f>1/(1/'U initial'!$B$195+Ufinal!$B$3)+Ufinal!C11</f>
        <v>0.20118114314830962</v>
      </c>
      <c r="P11" s="1"/>
    </row>
    <row r="12" spans="1:16" x14ac:dyDescent="0.25">
      <c r="A12" s="132"/>
      <c r="B12" s="49" t="s">
        <v>93</v>
      </c>
      <c r="C12" s="77">
        <v>0.06</v>
      </c>
      <c r="D12" s="66">
        <f>1/(1/'U initial'!$B$195+Ufinal!$B$3)+Ufinal!C12</f>
        <v>0.19118114314830961</v>
      </c>
      <c r="P12" s="1"/>
    </row>
    <row r="14" spans="1:16" x14ac:dyDescent="0.25">
      <c r="C14" t="s">
        <v>329</v>
      </c>
      <c r="D14" s="115">
        <f>AVERAGE(D7:D9)</f>
        <v>0.12596829026269438</v>
      </c>
      <c r="F14" s="126"/>
    </row>
    <row r="15" spans="1:16" x14ac:dyDescent="0.25">
      <c r="C15" t="s">
        <v>325</v>
      </c>
      <c r="D15" s="115">
        <f>AVERAGE(D11:D12)</f>
        <v>0.19618114314830962</v>
      </c>
    </row>
  </sheetData>
  <mergeCells count="2">
    <mergeCell ref="A6:A9"/>
    <mergeCell ref="A10:A12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3" t="s">
        <v>331</v>
      </c>
      <c r="C1" s="133"/>
      <c r="D1" s="133"/>
    </row>
    <row r="2" spans="1:10" x14ac:dyDescent="0.25">
      <c r="B2" s="78"/>
      <c r="C2" s="79" t="s">
        <v>353</v>
      </c>
      <c r="D2" s="80"/>
    </row>
    <row r="3" spans="1:10" ht="15.75" thickBot="1" x14ac:dyDescent="0.3">
      <c r="B3" s="81"/>
      <c r="C3" s="82" t="s">
        <v>333</v>
      </c>
      <c r="D3" s="83"/>
      <c r="F3" s="133" t="s">
        <v>334</v>
      </c>
      <c r="G3" s="133"/>
      <c r="H3" s="133"/>
    </row>
    <row r="4" spans="1:10" ht="15.75" thickBot="1" x14ac:dyDescent="0.3">
      <c r="B4" s="84"/>
      <c r="C4" s="85" t="s">
        <v>335</v>
      </c>
      <c r="D4" s="86"/>
      <c r="F4" s="78" t="s">
        <v>336</v>
      </c>
      <c r="G4" s="87" t="s">
        <v>337</v>
      </c>
      <c r="H4" s="80"/>
    </row>
    <row r="5" spans="1:10" x14ac:dyDescent="0.25">
      <c r="C5" s="88"/>
      <c r="F5" s="89">
        <f>C9*C11*24*0.7/C13</f>
        <v>47336.842436917745</v>
      </c>
      <c r="G5" s="22">
        <f>C9*C11*24*0.7/C14</f>
        <v>74950.000525119758</v>
      </c>
      <c r="H5" s="83" t="s">
        <v>338</v>
      </c>
    </row>
    <row r="6" spans="1:10" ht="15.75" thickBot="1" x14ac:dyDescent="0.3">
      <c r="B6" s="133" t="s">
        <v>149</v>
      </c>
      <c r="C6" s="133"/>
      <c r="D6" s="133"/>
      <c r="F6" s="90">
        <f>F5/1000</f>
        <v>47.336842436917742</v>
      </c>
      <c r="G6" s="91">
        <f>G5/1000</f>
        <v>74.950000525119762</v>
      </c>
      <c r="H6" s="86" t="s">
        <v>339</v>
      </c>
    </row>
    <row r="7" spans="1:10" x14ac:dyDescent="0.25">
      <c r="B7" s="78" t="s">
        <v>340</v>
      </c>
      <c r="C7" s="101">
        <f>'U initial'!B195</f>
        <v>1.6050157394851472</v>
      </c>
      <c r="D7" s="80" t="s">
        <v>341</v>
      </c>
    </row>
    <row r="8" spans="1:10" ht="15.75" thickBot="1" x14ac:dyDescent="0.3">
      <c r="B8" s="81" t="s">
        <v>342</v>
      </c>
      <c r="C8" s="92">
        <f>Ufinal!D15</f>
        <v>0.19618114314830962</v>
      </c>
      <c r="D8" s="83" t="s">
        <v>341</v>
      </c>
      <c r="F8" s="134" t="s">
        <v>343</v>
      </c>
      <c r="G8" s="134"/>
      <c r="H8" s="134"/>
    </row>
    <row r="9" spans="1:10" ht="15.75" thickBot="1" x14ac:dyDescent="0.3">
      <c r="B9" s="81" t="s">
        <v>344</v>
      </c>
      <c r="C9" s="92">
        <f>ABS(C8-C7)</f>
        <v>1.4088345963368376</v>
      </c>
      <c r="D9" s="83" t="s">
        <v>341</v>
      </c>
      <c r="G9" s="78" t="s">
        <v>336</v>
      </c>
      <c r="H9" s="87" t="s">
        <v>337</v>
      </c>
    </row>
    <row r="10" spans="1:10" x14ac:dyDescent="0.25">
      <c r="B10" s="81"/>
      <c r="D10" s="83"/>
      <c r="F10" s="78" t="s">
        <v>77</v>
      </c>
      <c r="G10" s="93">
        <f>F6*C17*C19</f>
        <v>936.43635182408161</v>
      </c>
      <c r="H10" s="94">
        <f>G6*C17*C19</f>
        <v>1482.6908903881297</v>
      </c>
    </row>
    <row r="11" spans="1:10" x14ac:dyDescent="0.25">
      <c r="A11" s="95"/>
      <c r="B11" s="81" t="s">
        <v>345</v>
      </c>
      <c r="C11">
        <v>1900</v>
      </c>
      <c r="D11" s="83" t="s">
        <v>346</v>
      </c>
      <c r="F11" s="81" t="s">
        <v>78</v>
      </c>
      <c r="G11" s="22">
        <f>F6*C17*C20</f>
        <v>766.1751969469758</v>
      </c>
      <c r="H11" s="96">
        <f>G6*C17*C20</f>
        <v>1213.1107284993786</v>
      </c>
    </row>
    <row r="12" spans="1:10" ht="15.75" thickBot="1" x14ac:dyDescent="0.3">
      <c r="B12" s="81"/>
      <c r="D12" s="83"/>
      <c r="F12" s="84" t="s">
        <v>79</v>
      </c>
      <c r="G12" s="91">
        <f>F6*C17*C21</f>
        <v>510.7834646313172</v>
      </c>
      <c r="H12" s="97">
        <f>G6*C17*C21</f>
        <v>808.74048566625243</v>
      </c>
    </row>
    <row r="13" spans="1:10" x14ac:dyDescent="0.25">
      <c r="B13" s="81" t="s">
        <v>347</v>
      </c>
      <c r="C13" s="98">
        <v>0.95</v>
      </c>
      <c r="D13" s="83"/>
      <c r="J13" s="99"/>
    </row>
    <row r="14" spans="1:10" ht="15.75" thickBot="1" x14ac:dyDescent="0.3">
      <c r="B14" s="81" t="s">
        <v>348</v>
      </c>
      <c r="C14" s="98">
        <v>0.6</v>
      </c>
      <c r="D14" s="83"/>
      <c r="F14" s="134" t="s">
        <v>349</v>
      </c>
      <c r="G14" s="134"/>
      <c r="H14" s="134"/>
    </row>
    <row r="15" spans="1:10" x14ac:dyDescent="0.25">
      <c r="B15" s="81"/>
      <c r="D15" s="83"/>
      <c r="F15" s="78" t="s">
        <v>77</v>
      </c>
      <c r="G15" s="102">
        <f>G10*0.31+H10*0.69</f>
        <v>1313.3519834332747</v>
      </c>
      <c r="H15" s="103">
        <f>ROUND(G15,-2)</f>
        <v>1300</v>
      </c>
    </row>
    <row r="16" spans="1:10" x14ac:dyDescent="0.25">
      <c r="B16" s="81" t="s">
        <v>350</v>
      </c>
      <c r="C16">
        <v>30</v>
      </c>
      <c r="D16" s="83" t="s">
        <v>351</v>
      </c>
      <c r="F16" s="81" t="s">
        <v>78</v>
      </c>
      <c r="G16" s="104">
        <f t="shared" ref="G16:G17" si="0">G11*0.31+H11*0.69</f>
        <v>1074.5607137181337</v>
      </c>
      <c r="H16" s="105">
        <f>ROUND(G16,-2)</f>
        <v>1100</v>
      </c>
    </row>
    <row r="17" spans="2:8" ht="15.75" thickBot="1" x14ac:dyDescent="0.3">
      <c r="B17" s="81" t="s">
        <v>352</v>
      </c>
      <c r="C17">
        <v>17.984000000000002</v>
      </c>
      <c r="D17" s="83"/>
      <c r="F17" s="84" t="s">
        <v>79</v>
      </c>
      <c r="G17" s="106">
        <f t="shared" si="0"/>
        <v>716.37380914542246</v>
      </c>
      <c r="H17" s="107">
        <f>ROUND(G17,-2)</f>
        <v>700</v>
      </c>
    </row>
    <row r="18" spans="2:8" x14ac:dyDescent="0.25">
      <c r="B18" s="81"/>
      <c r="D18" s="83"/>
    </row>
    <row r="19" spans="2:8" x14ac:dyDescent="0.25">
      <c r="B19" s="81" t="s">
        <v>77</v>
      </c>
      <c r="C19">
        <v>1.1000000000000001</v>
      </c>
      <c r="D19" s="83"/>
    </row>
    <row r="20" spans="2:8" x14ac:dyDescent="0.25">
      <c r="B20" s="81" t="s">
        <v>78</v>
      </c>
      <c r="C20">
        <v>0.9</v>
      </c>
      <c r="D20" s="83"/>
    </row>
    <row r="21" spans="2:8" ht="15.75" thickBot="1" x14ac:dyDescent="0.3">
      <c r="B21" s="84" t="s">
        <v>79</v>
      </c>
      <c r="C21" s="100">
        <v>0.6</v>
      </c>
      <c r="D21" s="86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9" sqref="C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3" t="s">
        <v>331</v>
      </c>
      <c r="C1" s="133"/>
      <c r="D1" s="133"/>
    </row>
    <row r="2" spans="1:10" x14ac:dyDescent="0.25">
      <c r="B2" s="78"/>
      <c r="C2" s="79" t="s">
        <v>353</v>
      </c>
      <c r="D2" s="80"/>
    </row>
    <row r="3" spans="1:10" ht="15.75" thickBot="1" x14ac:dyDescent="0.3">
      <c r="B3" s="81"/>
      <c r="C3" s="82" t="s">
        <v>333</v>
      </c>
      <c r="D3" s="83"/>
      <c r="F3" s="133" t="s">
        <v>334</v>
      </c>
      <c r="G3" s="133"/>
      <c r="H3" s="133"/>
    </row>
    <row r="4" spans="1:10" ht="15.75" thickBot="1" x14ac:dyDescent="0.3">
      <c r="B4" s="84"/>
      <c r="C4" s="85" t="s">
        <v>335</v>
      </c>
      <c r="D4" s="86"/>
      <c r="F4" s="78" t="s">
        <v>336</v>
      </c>
      <c r="G4" s="87" t="s">
        <v>337</v>
      </c>
      <c r="H4" s="80"/>
    </row>
    <row r="5" spans="1:10" x14ac:dyDescent="0.25">
      <c r="C5" s="88"/>
      <c r="F5" s="89">
        <f>C9*C11*24*0.7/C13</f>
        <v>49695.994293874406</v>
      </c>
      <c r="G5" s="22">
        <f>C9*C11*24*0.7/C14</f>
        <v>78685.324298634485</v>
      </c>
      <c r="H5" s="83" t="s">
        <v>338</v>
      </c>
    </row>
    <row r="6" spans="1:10" ht="15.75" thickBot="1" x14ac:dyDescent="0.3">
      <c r="B6" s="133" t="s">
        <v>149</v>
      </c>
      <c r="C6" s="133"/>
      <c r="D6" s="133"/>
      <c r="F6" s="90">
        <f>F5/1000</f>
        <v>49.695994293874406</v>
      </c>
      <c r="G6" s="91">
        <f>G5/1000</f>
        <v>78.685324298634484</v>
      </c>
      <c r="H6" s="86" t="s">
        <v>339</v>
      </c>
    </row>
    <row r="7" spans="1:10" x14ac:dyDescent="0.25">
      <c r="B7" s="78" t="s">
        <v>340</v>
      </c>
      <c r="C7" s="101">
        <f>'U initial'!B195</f>
        <v>1.6050157394851472</v>
      </c>
      <c r="D7" s="80" t="s">
        <v>341</v>
      </c>
    </row>
    <row r="8" spans="1:10" ht="15.75" thickBot="1" x14ac:dyDescent="0.3">
      <c r="B8" s="81" t="s">
        <v>342</v>
      </c>
      <c r="C8" s="92">
        <f>Ufinal!D14</f>
        <v>0.12596829026269438</v>
      </c>
      <c r="D8" s="83" t="s">
        <v>341</v>
      </c>
      <c r="F8" s="134" t="s">
        <v>343</v>
      </c>
      <c r="G8" s="134"/>
      <c r="H8" s="134"/>
    </row>
    <row r="9" spans="1:10" ht="15.75" thickBot="1" x14ac:dyDescent="0.3">
      <c r="B9" s="81" t="s">
        <v>344</v>
      </c>
      <c r="C9" s="92">
        <f>ABS(C8-C7)</f>
        <v>1.4790474492224528</v>
      </c>
      <c r="D9" s="83" t="s">
        <v>341</v>
      </c>
      <c r="G9" s="78" t="s">
        <v>336</v>
      </c>
      <c r="H9" s="87" t="s">
        <v>337</v>
      </c>
    </row>
    <row r="10" spans="1:10" x14ac:dyDescent="0.25">
      <c r="B10" s="81"/>
      <c r="D10" s="83"/>
      <c r="F10" s="78" t="s">
        <v>77</v>
      </c>
      <c r="G10" s="93">
        <f>F6*C17*C19</f>
        <v>983.1060375191413</v>
      </c>
      <c r="H10" s="94">
        <f>G6*C17*C19</f>
        <v>1556.5845594053071</v>
      </c>
    </row>
    <row r="11" spans="1:10" x14ac:dyDescent="0.25">
      <c r="A11" s="95"/>
      <c r="B11" s="81" t="s">
        <v>345</v>
      </c>
      <c r="C11">
        <v>1900</v>
      </c>
      <c r="D11" s="83" t="s">
        <v>346</v>
      </c>
      <c r="F11" s="81" t="s">
        <v>78</v>
      </c>
      <c r="G11" s="22">
        <f>F6*C17*C20</f>
        <v>804.35948524293372</v>
      </c>
      <c r="H11" s="96">
        <f>G6*C17*C20</f>
        <v>1273.5691849679786</v>
      </c>
    </row>
    <row r="12" spans="1:10" ht="15.75" thickBot="1" x14ac:dyDescent="0.3">
      <c r="B12" s="81"/>
      <c r="D12" s="83"/>
      <c r="F12" s="84" t="s">
        <v>79</v>
      </c>
      <c r="G12" s="91">
        <f>F6*C17*C21</f>
        <v>536.2396568286224</v>
      </c>
      <c r="H12" s="97">
        <f>G6*C17*C21</f>
        <v>849.04612331198564</v>
      </c>
    </row>
    <row r="13" spans="1:10" x14ac:dyDescent="0.25">
      <c r="B13" s="81" t="s">
        <v>347</v>
      </c>
      <c r="C13" s="98">
        <v>0.95</v>
      </c>
      <c r="D13" s="83"/>
      <c r="J13" s="99"/>
    </row>
    <row r="14" spans="1:10" ht="15.75" thickBot="1" x14ac:dyDescent="0.3">
      <c r="B14" s="81" t="s">
        <v>348</v>
      </c>
      <c r="C14" s="98">
        <v>0.6</v>
      </c>
      <c r="D14" s="83"/>
      <c r="F14" s="134" t="s">
        <v>349</v>
      </c>
      <c r="G14" s="134"/>
      <c r="H14" s="134"/>
    </row>
    <row r="15" spans="1:10" x14ac:dyDescent="0.25">
      <c r="B15" s="81"/>
      <c r="D15" s="83"/>
      <c r="F15" s="78" t="s">
        <v>77</v>
      </c>
      <c r="G15" s="102">
        <f>G10*0.31+H10*0.69</f>
        <v>1378.8062176205958</v>
      </c>
      <c r="H15" s="103">
        <f>ROUND(G15,-2)</f>
        <v>1400</v>
      </c>
    </row>
    <row r="16" spans="1:10" x14ac:dyDescent="0.25">
      <c r="B16" s="81" t="s">
        <v>350</v>
      </c>
      <c r="C16">
        <v>30</v>
      </c>
      <c r="D16" s="83" t="s">
        <v>351</v>
      </c>
      <c r="F16" s="81" t="s">
        <v>78</v>
      </c>
      <c r="G16" s="104">
        <f t="shared" ref="G16:G17" si="0">G11*0.31+H11*0.69</f>
        <v>1128.1141780532146</v>
      </c>
      <c r="H16" s="105">
        <f>ROUND(G16,-2)</f>
        <v>1100</v>
      </c>
    </row>
    <row r="17" spans="2:8" ht="15.75" thickBot="1" x14ac:dyDescent="0.3">
      <c r="B17" s="81" t="s">
        <v>352</v>
      </c>
      <c r="C17">
        <v>17.984000000000002</v>
      </c>
      <c r="D17" s="83"/>
      <c r="F17" s="84" t="s">
        <v>79</v>
      </c>
      <c r="G17" s="106">
        <f t="shared" si="0"/>
        <v>752.07611870214305</v>
      </c>
      <c r="H17" s="107">
        <f>ROUND(G17,-2)</f>
        <v>800</v>
      </c>
    </row>
    <row r="18" spans="2:8" x14ac:dyDescent="0.25">
      <c r="B18" s="81"/>
      <c r="D18" s="83"/>
    </row>
    <row r="19" spans="2:8" x14ac:dyDescent="0.25">
      <c r="B19" s="81" t="s">
        <v>77</v>
      </c>
      <c r="C19">
        <v>1.1000000000000001</v>
      </c>
      <c r="D19" s="83"/>
    </row>
    <row r="20" spans="2:8" x14ac:dyDescent="0.25">
      <c r="B20" s="81" t="s">
        <v>78</v>
      </c>
      <c r="C20">
        <v>0.9</v>
      </c>
      <c r="D20" s="83"/>
    </row>
    <row r="21" spans="2:8" ht="15.75" thickBot="1" x14ac:dyDescent="0.3">
      <c r="B21" s="84" t="s">
        <v>79</v>
      </c>
      <c r="C21" s="100">
        <v>0.6</v>
      </c>
      <c r="D21" s="86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9" sqref="J9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3" t="s">
        <v>331</v>
      </c>
      <c r="C1" s="133"/>
      <c r="D1" s="133"/>
    </row>
    <row r="2" spans="1:10" x14ac:dyDescent="0.25">
      <c r="B2" s="78"/>
      <c r="C2" s="79" t="s">
        <v>353</v>
      </c>
      <c r="D2" s="80"/>
    </row>
    <row r="3" spans="1:10" ht="15.75" thickBot="1" x14ac:dyDescent="0.3">
      <c r="B3" s="81"/>
      <c r="C3" s="82" t="s">
        <v>333</v>
      </c>
      <c r="D3" s="83"/>
      <c r="F3" s="133" t="s">
        <v>334</v>
      </c>
      <c r="G3" s="133"/>
      <c r="H3" s="133"/>
    </row>
    <row r="4" spans="1:10" ht="15.75" thickBot="1" x14ac:dyDescent="0.3">
      <c r="B4" s="84"/>
      <c r="C4" s="85" t="s">
        <v>335</v>
      </c>
      <c r="D4" s="86"/>
      <c r="F4" s="78" t="s">
        <v>336</v>
      </c>
      <c r="G4" s="87" t="s">
        <v>337</v>
      </c>
      <c r="H4" s="80"/>
    </row>
    <row r="5" spans="1:10" x14ac:dyDescent="0.25">
      <c r="C5" s="88"/>
      <c r="F5" s="89">
        <f>C9*C11*24*0.7/C13</f>
        <v>48516.418365396079</v>
      </c>
      <c r="G5" s="22">
        <f>C9*C11*24*0.7/C14</f>
        <v>76817.662411877129</v>
      </c>
      <c r="H5" s="83" t="s">
        <v>338</v>
      </c>
    </row>
    <row r="6" spans="1:10" ht="15.75" thickBot="1" x14ac:dyDescent="0.3">
      <c r="B6" s="133" t="s">
        <v>149</v>
      </c>
      <c r="C6" s="133"/>
      <c r="D6" s="133"/>
      <c r="F6" s="90">
        <f>F5/1000</f>
        <v>48.516418365396078</v>
      </c>
      <c r="G6" s="91">
        <f>G5/1000</f>
        <v>76.817662411877123</v>
      </c>
      <c r="H6" s="86" t="s">
        <v>339</v>
      </c>
    </row>
    <row r="7" spans="1:10" x14ac:dyDescent="0.25">
      <c r="B7" s="78" t="s">
        <v>340</v>
      </c>
      <c r="C7" s="101">
        <f>'U initial'!B195</f>
        <v>1.6050157394851472</v>
      </c>
      <c r="D7" s="80" t="s">
        <v>341</v>
      </c>
    </row>
    <row r="8" spans="1:10" ht="15.75" thickBot="1" x14ac:dyDescent="0.3">
      <c r="B8" s="81" t="s">
        <v>342</v>
      </c>
      <c r="C8" s="92">
        <f>AVERAGE('Calcul Montants CEE_Combles'!C8,'Calcul Montants CEE_rampants'!C8)</f>
        <v>0.161074716705502</v>
      </c>
      <c r="D8" s="83" t="s">
        <v>341</v>
      </c>
      <c r="F8" s="134" t="s">
        <v>343</v>
      </c>
      <c r="G8" s="134"/>
      <c r="H8" s="134"/>
    </row>
    <row r="9" spans="1:10" ht="15.75" thickBot="1" x14ac:dyDescent="0.3">
      <c r="B9" s="81" t="s">
        <v>344</v>
      </c>
      <c r="C9" s="92">
        <f>ABS(C8-C7)</f>
        <v>1.4439410227796452</v>
      </c>
      <c r="D9" s="83" t="s">
        <v>341</v>
      </c>
      <c r="G9" s="78" t="s">
        <v>336</v>
      </c>
      <c r="H9" s="87" t="s">
        <v>337</v>
      </c>
    </row>
    <row r="10" spans="1:10" x14ac:dyDescent="0.25">
      <c r="B10" s="81"/>
      <c r="D10" s="83"/>
      <c r="F10" s="78" t="s">
        <v>77</v>
      </c>
      <c r="G10" s="102">
        <f>F6*C17*C19</f>
        <v>959.77119467161162</v>
      </c>
      <c r="H10" s="103">
        <f>G6*C17*C19</f>
        <v>1519.6377248967183</v>
      </c>
    </row>
    <row r="11" spans="1:10" x14ac:dyDescent="0.25">
      <c r="A11" s="95"/>
      <c r="B11" s="81" t="s">
        <v>345</v>
      </c>
      <c r="C11">
        <v>1900</v>
      </c>
      <c r="D11" s="83" t="s">
        <v>346</v>
      </c>
      <c r="F11" s="81" t="s">
        <v>78</v>
      </c>
      <c r="G11" s="104">
        <f>F6*C17*C20</f>
        <v>785.26734109495487</v>
      </c>
      <c r="H11" s="105">
        <f>G6*C17*C20</f>
        <v>1243.3399567336785</v>
      </c>
    </row>
    <row r="12" spans="1:10" ht="15.75" thickBot="1" x14ac:dyDescent="0.3">
      <c r="B12" s="81"/>
      <c r="D12" s="83"/>
      <c r="F12" s="84" t="s">
        <v>79</v>
      </c>
      <c r="G12" s="106">
        <f>F6*C17*C21</f>
        <v>523.51156072996991</v>
      </c>
      <c r="H12" s="107">
        <f>G6*C17*C21</f>
        <v>828.89330448911892</v>
      </c>
    </row>
    <row r="13" spans="1:10" x14ac:dyDescent="0.25">
      <c r="B13" s="81" t="s">
        <v>347</v>
      </c>
      <c r="C13" s="98">
        <v>0.95</v>
      </c>
      <c r="D13" s="83"/>
      <c r="J13" s="99"/>
    </row>
    <row r="14" spans="1:10" ht="15.75" thickBot="1" x14ac:dyDescent="0.3">
      <c r="B14" s="81" t="s">
        <v>348</v>
      </c>
      <c r="C14" s="98">
        <v>0.6</v>
      </c>
      <c r="D14" s="83"/>
      <c r="F14" s="134" t="s">
        <v>349</v>
      </c>
      <c r="G14" s="134"/>
      <c r="H14" s="134"/>
    </row>
    <row r="15" spans="1:10" x14ac:dyDescent="0.25">
      <c r="B15" s="81"/>
      <c r="D15" s="83"/>
      <c r="F15" s="78" t="s">
        <v>77</v>
      </c>
      <c r="G15" s="102">
        <f>G10*0.31+H10*0.69</f>
        <v>1346.0791005269352</v>
      </c>
      <c r="H15" s="103">
        <f>ROUND(G15,-2)</f>
        <v>1300</v>
      </c>
    </row>
    <row r="16" spans="1:10" x14ac:dyDescent="0.25">
      <c r="B16" s="81" t="s">
        <v>350</v>
      </c>
      <c r="C16">
        <v>30</v>
      </c>
      <c r="D16" s="83" t="s">
        <v>351</v>
      </c>
      <c r="F16" s="81" t="s">
        <v>78</v>
      </c>
      <c r="G16" s="104">
        <f t="shared" ref="G16:G17" si="0">G11*0.31+H11*0.69</f>
        <v>1101.3374458856742</v>
      </c>
      <c r="H16" s="105">
        <f>ROUND(G16,-2)</f>
        <v>1100</v>
      </c>
    </row>
    <row r="17" spans="2:8" ht="15.75" thickBot="1" x14ac:dyDescent="0.3">
      <c r="B17" s="81" t="s">
        <v>352</v>
      </c>
      <c r="C17">
        <v>17.984000000000002</v>
      </c>
      <c r="D17" s="83"/>
      <c r="F17" s="84" t="s">
        <v>79</v>
      </c>
      <c r="G17" s="106">
        <f t="shared" si="0"/>
        <v>734.22496392378275</v>
      </c>
      <c r="H17" s="107">
        <f>ROUND(G17,-2)</f>
        <v>700</v>
      </c>
    </row>
    <row r="18" spans="2:8" x14ac:dyDescent="0.25">
      <c r="B18" s="81"/>
      <c r="D18" s="83"/>
    </row>
    <row r="19" spans="2:8" x14ac:dyDescent="0.25">
      <c r="B19" s="81" t="s">
        <v>77</v>
      </c>
      <c r="C19">
        <v>1.1000000000000001</v>
      </c>
      <c r="D19" s="83"/>
    </row>
    <row r="20" spans="2:8" x14ac:dyDescent="0.25">
      <c r="B20" s="81" t="s">
        <v>78</v>
      </c>
      <c r="C20">
        <v>0.9</v>
      </c>
      <c r="D20" s="83"/>
    </row>
    <row r="21" spans="2:8" ht="15.75" thickBot="1" x14ac:dyDescent="0.3">
      <c r="B21" s="84" t="s">
        <v>79</v>
      </c>
      <c r="C21" s="100">
        <v>0.6</v>
      </c>
      <c r="D21" s="86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G5" sqref="G5"/>
    </sheetView>
  </sheetViews>
  <sheetFormatPr baseColWidth="10" defaultRowHeight="15" x14ac:dyDescent="0.25"/>
  <cols>
    <col min="2" max="2" width="17.85546875" customWidth="1"/>
    <col min="4" max="4" width="12.5703125" customWidth="1"/>
    <col min="6" max="6" width="12" customWidth="1"/>
    <col min="7" max="7" width="12.5703125" customWidth="1"/>
    <col min="8" max="8" width="11.28515625" bestFit="1" customWidth="1"/>
  </cols>
  <sheetData>
    <row r="1" spans="1:10" ht="15.75" thickBot="1" x14ac:dyDescent="0.3">
      <c r="B1" s="133" t="s">
        <v>331</v>
      </c>
      <c r="C1" s="133"/>
      <c r="D1" s="133"/>
    </row>
    <row r="2" spans="1:10" x14ac:dyDescent="0.25">
      <c r="B2" s="78"/>
      <c r="C2" s="79" t="s">
        <v>332</v>
      </c>
      <c r="D2" s="80"/>
    </row>
    <row r="3" spans="1:10" ht="15.75" thickBot="1" x14ac:dyDescent="0.3">
      <c r="B3" s="81"/>
      <c r="C3" s="82" t="s">
        <v>333</v>
      </c>
      <c r="D3" s="83"/>
      <c r="F3" s="133" t="s">
        <v>334</v>
      </c>
      <c r="G3" s="133"/>
      <c r="H3" s="133"/>
    </row>
    <row r="4" spans="1:10" ht="15.75" thickBot="1" x14ac:dyDescent="0.3">
      <c r="B4" s="84"/>
      <c r="C4" s="85" t="s">
        <v>335</v>
      </c>
      <c r="D4" s="86"/>
      <c r="F4" s="78" t="s">
        <v>336</v>
      </c>
      <c r="G4" s="87" t="s">
        <v>337</v>
      </c>
      <c r="H4" s="80"/>
    </row>
    <row r="5" spans="1:10" x14ac:dyDescent="0.25">
      <c r="C5" s="88"/>
      <c r="F5" s="89">
        <f>C9*C11*24*0.7/C13</f>
        <v>62030.769230769227</v>
      </c>
      <c r="G5" s="22">
        <f>C9*C11*24*0.7/C14</f>
        <v>98215.38461538461</v>
      </c>
      <c r="H5" s="83" t="s">
        <v>338</v>
      </c>
    </row>
    <row r="6" spans="1:10" ht="15.75" thickBot="1" x14ac:dyDescent="0.3">
      <c r="B6" s="133" t="s">
        <v>149</v>
      </c>
      <c r="C6" s="133"/>
      <c r="D6" s="133"/>
      <c r="F6" s="90">
        <f>F5/1000</f>
        <v>62.030769230769224</v>
      </c>
      <c r="G6" s="91">
        <f>G5/1000</f>
        <v>98.215384615384608</v>
      </c>
      <c r="H6" s="86" t="s">
        <v>339</v>
      </c>
    </row>
    <row r="7" spans="1:10" x14ac:dyDescent="0.25">
      <c r="B7" s="78" t="s">
        <v>340</v>
      </c>
      <c r="C7" s="87">
        <v>2</v>
      </c>
      <c r="D7" s="80" t="s">
        <v>341</v>
      </c>
    </row>
    <row r="8" spans="1:10" ht="15.75" thickBot="1" x14ac:dyDescent="0.3">
      <c r="B8" s="81" t="s">
        <v>342</v>
      </c>
      <c r="C8" s="92">
        <f>1/(1/C7+6)</f>
        <v>0.15384615384615385</v>
      </c>
      <c r="D8" s="83" t="s">
        <v>341</v>
      </c>
      <c r="F8" s="134" t="s">
        <v>343</v>
      </c>
      <c r="G8" s="134"/>
      <c r="H8" s="134"/>
    </row>
    <row r="9" spans="1:10" ht="15.75" thickBot="1" x14ac:dyDescent="0.3">
      <c r="B9" s="81" t="s">
        <v>344</v>
      </c>
      <c r="C9" s="92">
        <f>ABS(C8-C7)</f>
        <v>1.8461538461538463</v>
      </c>
      <c r="D9" s="83" t="s">
        <v>341</v>
      </c>
      <c r="G9" s="78" t="s">
        <v>336</v>
      </c>
      <c r="H9" s="87" t="s">
        <v>337</v>
      </c>
    </row>
    <row r="10" spans="1:10" x14ac:dyDescent="0.25">
      <c r="B10" s="81"/>
      <c r="D10" s="83"/>
      <c r="F10" s="78" t="s">
        <v>77</v>
      </c>
      <c r="G10" s="102">
        <f>F6*C17*C19</f>
        <v>1227.1174892307695</v>
      </c>
      <c r="H10" s="103">
        <f>G6*C17*C19</f>
        <v>1942.9360246153847</v>
      </c>
    </row>
    <row r="11" spans="1:10" x14ac:dyDescent="0.25">
      <c r="A11" s="95"/>
      <c r="B11" s="81" t="s">
        <v>345</v>
      </c>
      <c r="C11">
        <v>1900</v>
      </c>
      <c r="D11" s="83" t="s">
        <v>346</v>
      </c>
      <c r="F11" s="81" t="s">
        <v>78</v>
      </c>
      <c r="G11" s="104">
        <f>F6*C17*C20</f>
        <v>1004.0052184615386</v>
      </c>
      <c r="H11" s="105">
        <f>G6*C17*C20</f>
        <v>1589.6749292307693</v>
      </c>
    </row>
    <row r="12" spans="1:10" ht="15.75" thickBot="1" x14ac:dyDescent="0.3">
      <c r="B12" s="81"/>
      <c r="D12" s="83"/>
      <c r="F12" s="84" t="s">
        <v>79</v>
      </c>
      <c r="G12" s="106">
        <f>F6*C17*C21</f>
        <v>669.3368123076923</v>
      </c>
      <c r="H12" s="107">
        <f>G6*C17*C21</f>
        <v>1059.7832861538461</v>
      </c>
    </row>
    <row r="13" spans="1:10" x14ac:dyDescent="0.25">
      <c r="B13" s="81" t="s">
        <v>347</v>
      </c>
      <c r="C13" s="98">
        <v>0.95</v>
      </c>
      <c r="D13" s="83"/>
      <c r="J13" s="99"/>
    </row>
    <row r="14" spans="1:10" ht="15.75" thickBot="1" x14ac:dyDescent="0.3">
      <c r="B14" s="81" t="s">
        <v>348</v>
      </c>
      <c r="C14" s="98">
        <v>0.6</v>
      </c>
      <c r="D14" s="83"/>
      <c r="F14" s="134" t="s">
        <v>349</v>
      </c>
      <c r="G14" s="134"/>
      <c r="H14" s="134"/>
    </row>
    <row r="15" spans="1:10" x14ac:dyDescent="0.25">
      <c r="B15" s="81"/>
      <c r="D15" s="83"/>
      <c r="F15" s="78" t="s">
        <v>77</v>
      </c>
      <c r="G15" s="102">
        <f>G10*0.31+H10*0.69</f>
        <v>1721.0322786461538</v>
      </c>
      <c r="H15" s="103">
        <f>ROUND(G15,-2)</f>
        <v>1700</v>
      </c>
    </row>
    <row r="16" spans="1:10" x14ac:dyDescent="0.25">
      <c r="B16" s="81" t="s">
        <v>350</v>
      </c>
      <c r="C16">
        <v>30</v>
      </c>
      <c r="D16" s="83" t="s">
        <v>351</v>
      </c>
      <c r="F16" s="81" t="s">
        <v>78</v>
      </c>
      <c r="G16" s="112">
        <f t="shared" ref="G16:G17" si="0">G11*0.31+H11*0.69</f>
        <v>1408.1173188923076</v>
      </c>
      <c r="H16" s="105">
        <f t="shared" ref="H16:H17" si="1">ROUND(G16,-2)</f>
        <v>1400</v>
      </c>
    </row>
    <row r="17" spans="2:8" ht="15.75" thickBot="1" x14ac:dyDescent="0.3">
      <c r="B17" s="81" t="s">
        <v>352</v>
      </c>
      <c r="C17">
        <v>17.984000000000002</v>
      </c>
      <c r="D17" s="83"/>
      <c r="F17" s="84" t="s">
        <v>79</v>
      </c>
      <c r="G17" s="106">
        <f t="shared" si="0"/>
        <v>938.74487926153836</v>
      </c>
      <c r="H17" s="107">
        <f t="shared" si="1"/>
        <v>900</v>
      </c>
    </row>
    <row r="18" spans="2:8" x14ac:dyDescent="0.25">
      <c r="B18" s="81"/>
      <c r="D18" s="83"/>
    </row>
    <row r="19" spans="2:8" x14ac:dyDescent="0.25">
      <c r="B19" s="81" t="s">
        <v>77</v>
      </c>
      <c r="C19">
        <v>1.1000000000000001</v>
      </c>
      <c r="D19" s="83"/>
    </row>
    <row r="20" spans="2:8" x14ac:dyDescent="0.25">
      <c r="B20" s="81" t="s">
        <v>78</v>
      </c>
      <c r="C20">
        <v>0.9</v>
      </c>
      <c r="D20" s="83"/>
    </row>
    <row r="21" spans="2:8" ht="15.75" thickBot="1" x14ac:dyDescent="0.3">
      <c r="B21" s="84" t="s">
        <v>79</v>
      </c>
      <c r="C21" s="100">
        <v>0.6</v>
      </c>
      <c r="D21" s="86"/>
    </row>
  </sheetData>
  <mergeCells count="5">
    <mergeCell ref="B1:D1"/>
    <mergeCell ref="F3:H3"/>
    <mergeCell ref="B6:D6"/>
    <mergeCell ref="F8:H8"/>
    <mergeCell ref="F14:H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g F A A B Q S w M E F A A C A A g A 6 I T + U m M q P S 6 k A A A A 9 Q A A A B I A H A B D b 2 5 m a W c v U G F j a 2 F n Z S 5 4 b W w g o h g A K K A U A A A A A A A A A A A A A A A A A A A A A A A A A A A A h Y 8 x D o I w G I W v Q r r T l u q g 5 K c M J k 6 S G E 2 M a 1 M K N E I x t F j u 5 u C R v I I Y R d 0 c 3 / e + 4 b 3 7 9 Q b p 0 N T B R X V W t y Z B E a Y o U E a 2 u T Z l g n p X h A u U c t g K e R K l C k b Z 2 H i w e Y I q 5 8 4 x I d 5 7 7 G e 4 7 U r C K I 3 I M d v s Z a U a g T 6 y / i + H 2 l g n j F S I w + E 1 h j O 8 n G P G G K Z A J g a Z N t + e j X O f 7 Q + E V V + 7 v l O 8 6 M L 1 D s g U g b w v 8 A d Q S w M E F A A C A A g A 6 I T +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i E / l I v i I l X I g I A A D g P A A A T A B w A R m 9 y b X V s Y X M v U 2 V j d G l v b j E u b S C i G A A o o B Q A A A A A A A A A A A A A A A A A A A A A A A A A A A D t V c 1 u m 0 A Q v l v y O 4 z I B S S M g C a p 2 o p D a t O m h 7 i p 7 V w a K m u 9 j B 0 q 2 E W 7 i 2 U r 8 v v U f Q 1 e r E t o G y W 1 0 8 h y f y K b C z D M 7 H z f z D e D R K o S z q B f 3 7 1 X z U a z I a + I w B g O j D M + R 8 Y Q Y o S L / A r G C S M p 5 E Q A 0 V Y c U s 6 k E k V 9 g j k R v M h R W i 3 f 9 V 4 Y E E C K q t k A f f V 5 I S h q S 1 t O n Q 6 n R Y Z M m W + S F J 0 2 Z 0 q / S N P 4 + D L y W u e C f 0 Y l A R l Q H S S h F 3 b f R 7 7 X 8 5 4 f D U N V a C D t M I Q W d N 6 G 7 e i Z A z o g r g F E h w 4 M y K j C S k l K i z Q K Z z k X C m L O W L l E C Z 3 z M H p 9 0 o P B K X i u F 2 1 O z q F y a l j 2 Z Q f T J E s U i s C w D R v a P C 0 y J g P f h p B R H i d s E h w f u a 5 n w 4 e C K + y r e Y r B 7 a P T 5 Q w / W X Z d p A N j M M 8 R M h 0 3 T s p l V U B N R 3 s N B G F y z E V W n 1 9 5 S b M u q X 1 9 b d R W T + d X V b z C m V r Y 8 M P u 3 7 E v r G Y j Y a v z b a v z Y P r W v v v / Z / d X J w M y R V p x J 1 n 5 R Q l d K 1 E u J 5 o 4 K W a / A X I f t k 7 9 S 2 5 W Z C M U C w 3 L Q N a 6 6 B v r R f g g k r s C 7 f J s J O 6 1 z 6 Q 8 0 8 E q q R Q m r Z t 2 r v 0 6 f C J r a j t E / 5 B o Q 9 Z S 5 V e l U e e C Z 4 W 8 l Y t m n O m o U y Q x i p + K h c v v 9 p M 0 7 W v + R M h A j 9 m m c 7 A C Q D U U j y i Z 5 v 6 O q e N D p z r o Z m I e c t 1 k g 2 6 j b 7 6 7 I w L 1 3 d 0 V 6 P D x A l 3 r + q 8 E + m R + 9 / s t u s t b d I d E u t + k f 2 W T f g N Q S w E C L Q A U A A I A C A D o h P 5 S Y y o 9 L q Q A A A D 1 A A A A E g A A A A A A A A A A A A A A A A A A A A A A Q 2 9 u Z m l n L 1 B h Y 2 t h Z 2 U u e G 1 s U E s B A i 0 A F A A C A A g A 6 I T + U g / K 6 a u k A A A A 6 Q A A A B M A A A A A A A A A A A A A A A A A 8 A A A A F t D b 2 5 0 Z W 5 0 X 1 R 5 c G V z X S 5 4 b W x Q S w E C L Q A U A A I A C A D o h P 5 S L 4 i J V y I C A A A 4 D w A A E w A A A A A A A A A A A A A A A A D h A Q A A R m 9 y b X V s Y X M v U 2 V j d G l v b j E u b V B L B Q Y A A A A A A w A D A M I A A A B Q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f P A A A A A A A A H 0 8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9 5 Z W 5 u Z S U y M G R l J T I w V X B o J T I w Z m l u Y W w l M j B w Y X I l M j B h b m 5 l Z V 9 j b 2 5 z d H J 1 Y 3 R p b 2 4 l M j A o Z 3 J v d X B l c y k t M j A x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z B U M T M 6 M j A 6 M j c u N D Q 5 N D E 0 M 1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v e W V u b m U g Z G U g V X B o I G Z p b m F s I H B h c i B h b m 5 l Z V 9 j b 2 5 z d H J 1 Y 3 R p b 2 4 g K G d y b 3 V w Z X M p L T I w M T k v V H l w Z S B t b 2 R p Z m n D q S 5 7 Q 2 9 s d W 1 u M S w w f S Z x d W 9 0 O y w m c X V v d D t T Z W N 0 a W 9 u M S 9 N b 3 l l b m 5 l I G R l I F V w a C B m a W 5 h b C B w Y X I g Y W 5 u Z W V f Y 2 9 u c 3 R y d W N 0 a W 9 u I C h n c m 9 1 c G V z K S 0 y M D E 5 L 1 R 5 c G U g b W 9 k a W Z p w 6 k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W 9 5 Z W 5 u Z S B k Z S B V c G g g Z m l u Y W w g c G F y I G F u b m V l X 2 N v b n N 0 c n V j d G l v b i A o Z 3 J v d X B l c y k t M j A x O S 9 U e X B l I G 1 v Z G l m a c O p L n t D b 2 x 1 b W 4 x L D B 9 J n F 1 b 3 Q 7 L C Z x d W 9 0 O 1 N l Y 3 R p b 2 4 x L 0 1 v e W V u b m U g Z G U g V X B o I G Z p b m F s I H B h c i B h b m 5 l Z V 9 j b 2 5 z d H J 1 Y 3 R p b 2 4 g K G d y b 3 V w Z X M p L T I w M T k v V H l w Z S B t b 2 R p Z m n D q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9 5 Z W 5 u Z S U y M G R l J T I w V X B o J T I w Z m l u Y W w l M j B w Y X I l M j B h b m 5 l Z V 9 j b 2 5 z d H J 1 Y 3 R p b 2 4 l M j A o Z 3 J v d X B l c y k t M j A x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3 l l b m 5 l J T I w Z G U l M j B V c G g l M j B m a W 5 h b C U y M H B h c i U y M G F u b m V l X 2 N v b n N 0 c n V j d G l v b i U y M C h n c m 9 1 c G V z K S 0 y M D E 5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3 l l b m 5 l J T I w Z G U l M j B V c G g l M j B m a W 5 h b C U y M H B h c i U y M G F u b m V l X 2 N v b n N 0 c n V j d G l v b i U y M C h n c m 9 1 c G V z K S 0 y M D E 5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S I g L z 4 8 R W 5 0 c n k g V H l w Z T 0 i R m l s b E x h c 3 R V c G R h d G V k I i B W Y W x 1 Z T 0 i Z D I w M j E t M D c t M z B U M T M 6 M j I 6 M D g u N D E 4 N z g 5 M V o i I C 8 + P E V u d H J 5 I F R 5 c G U 9 I k Z p b G x D b 2 x 1 b W 5 U e X B l c y I g V m F s d W U 9 I n N C Z 1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v e W V u b m U g Z G U g V X B o I G Z p b m F s I H B h c i B h b m 5 l Z V 9 j b 2 5 z d H J 1 Y 3 R p b 2 4 g K G d y b 3 V w Z X M p L T I w M T k g K D I p L 1 R 5 c G U g b W 9 k a W Z p w 6 k u e 0 N v b H V t b j E s M H 0 m c X V v d D s s J n F 1 b 3 Q 7 U 2 V j d G l v b j E v T W 9 5 Z W 5 u Z S B k Z S B V c G g g Z m l u Y W w g c G F y I G F u b m V l X 2 N v b n N 0 c n V j d G l v b i A o Z 3 J v d X B l c y k t M j A x O S A o M i k v V H l w Z S B t b 2 R p Z m n D q S B h d m V j I H B h c m F t w 6 h 0 c m V z I H L D q W d p b 2 5 h d X g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W 9 5 Z W 5 u Z S B k Z S B V c G g g Z m l u Y W w g c G F y I G F u b m V l X 2 N v b n N 0 c n V j d G l v b i A o Z 3 J v d X B l c y k t M j A x O S A o M i k v V H l w Z S B t b 2 R p Z m n D q S 5 7 Q 2 9 s d W 1 u M S w w f S Z x d W 9 0 O y w m c X V v d D t T Z W N 0 a W 9 u M S 9 N b 3 l l b m 5 l I G R l I F V w a C B m a W 5 h b C B w Y X I g Y W 5 u Z W V f Y 2 9 u c 3 R y d W N 0 a W 9 u I C h n c m 9 1 c G V z K S 0 y M D E 5 I C g y K S 9 U e X B l I G 1 v Z G l m a c O p I G F 2 Z W M g c G F y Y W 3 D q H R y Z X M g c s O p Z 2 l v b m F 1 e C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9 5 Z W 5 u Z S U y M G R l J T I w V X B o J T I w Z m l u Y W w l M j B w Y X I l M j B h b m 5 l Z V 9 j b 2 5 z d H J 1 Y 3 R p b 2 4 l M j A o Z 3 J v d X B l c y k t M j A x O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3 l l b m 5 l J T I w Z G U l M j B V c G g l M j B m a W 5 h b C U y M H B h c i U y M G F u b m V l X 2 N v b n N 0 c n V j d G l v b i U y M C h n c m 9 1 c G V z K S 0 y M D E 5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3 l l b m 5 l J T I w Z G U l M j B V c G g l M j B m a W 5 h b C U y M H B h c i U y M G F u b m V l X 2 N v b n N 0 c n V j d G l v b i U y M C h n c m 9 1 c G V z K S 0 y M D E 5 J T I w K D I p L 1 R 5 c G U l M j B t b 2 R p Z m k l Q z M l Q T k l M j B h d m V j J T I w c G F y Y W 0 l Q z M l Q T h 0 c m V z J T I w c i V D M y V B O W d p b 2 5 h d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x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M w V D E z O j M w O j A 1 L j U x M j M 4 O D B a I i A v P j x F b n R y e S B U e X B l P S J G a W x s Q 2 9 s d W 1 u V H l w Z X M i I F Z h b H V l P S J z Q X d Z P S I g L z 4 8 R W 5 0 c n k g V H l w Z T 0 i R m l s b E N v b H V t b k 5 h b W V z I i B W Y W x 1 Z T 0 i c 1 s m c X V v d D t O b 2 1 i c m U g Z G U g V X B o I G Z p b m F s I C h j b 2 1 w Y X J 0 a W 1 l b n R z K S Z x d W 9 0 O y w m c X V v d D t V c G g g Z m l u Y W w g K G N v b X B h c n R p b W V u d H M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9 t Y n J l I G R l I F V w a C B m a W 5 h b C A o Y 2 9 t c G F y d G l t Z W 5 0 c y k g c G F y I F V w a C B m a W 5 h b C A o Y 2 9 t c G F y d G l t Z W 5 0 c y l f M j A x O S 9 U e X B l I G 1 v Z G l m a c O p L n t O b 2 1 i c m U g Z G U g V X B o I G Z p b m F s I C h j b 2 1 w Y X J 0 a W 1 l b n R z K S w w f S Z x d W 9 0 O y w m c X V v d D t T Z W N 0 a W 9 u M S 9 O b 2 1 i c m U g Z G U g V X B o I G Z p b m F s I C h j b 2 1 w Y X J 0 a W 1 l b n R z K S B w Y X I g V X B o I G Z p b m F s I C h j b 2 1 w Y X J 0 a W 1 l b n R z K V 8 y M D E 5 L 1 R 5 c G U g b W 9 k a W Z p w 6 k u e 1 V w a C B m a W 5 h b C A o Y 2 9 t c G F y d G l t Z W 5 0 c y k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m 9 t Y n J l I G R l I F V w a C B m a W 5 h b C A o Y 2 9 t c G F y d G l t Z W 5 0 c y k g c G F y I F V w a C B m a W 5 h b C A o Y 2 9 t c G F y d G l t Z W 5 0 c y l f M j A x O S 9 U e X B l I G 1 v Z G l m a c O p L n t O b 2 1 i c m U g Z G U g V X B o I G Z p b m F s I C h j b 2 1 w Y X J 0 a W 1 l b n R z K S w w f S Z x d W 9 0 O y w m c X V v d D t T Z W N 0 a W 9 u M S 9 O b 2 1 i c m U g Z G U g V X B o I G Z p b m F s I C h j b 2 1 w Y X J 0 a W 1 l b n R z K S B w Y X I g V X B o I G Z p b m F s I C h j b 2 1 w Y X J 0 a W 1 l b n R z K V 8 y M D E 5 L 1 R 5 c G U g b W 9 k a W Z p w 6 k u e 1 V w a C B m a W 5 h b C A o Y 2 9 t c G F y d G l t Z W 5 0 c y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x O S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j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z M F Q x M z o z O D o y M C 4 4 N D A 3 M T E 5 W i I g L z 4 8 R W 5 0 c n k g V H l w Z T 0 i R m l s b E N v b H V t b l R 5 c G V z I i B W Y W x 1 Z T 0 i c 0 F 3 W T 0 i I C 8 + P E V u d H J 5 I F R 5 c G U 9 I k Z p b G x D b 2 x 1 b W 5 O Y W 1 l c y I g V m F s d W U 9 I n N b J n F 1 b 3 Q 7 T m 9 t Y n J l I G R l I F V w a F 9 m a W 5 h b C A o Y 2 9 t c G F y d G l t Z W 5 0 c y k m c X V v d D s s J n F 1 b 3 Q 7 V X B o X 2 Z p b m F s I C h j b 2 1 w Y X J 0 a W 1 l b n R z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v b W J y Z S B k Z S B V c G g g Z m l u Y W w g K G N v b X B h c n R p b W V u d H M p I H B h c i B V c G g g Z m l u Y W w g K G N v b X B h c n R p b W V u d H M p X z I w M j A v V H l w Z S B t b 2 R p Z m n D q S 5 7 T m 9 t Y n J l I G R l I F V w a F 9 m a W 5 h b C A o Y 2 9 t c G F y d G l t Z W 5 0 c y k s M H 0 m c X V v d D s s J n F 1 b 3 Q 7 U 2 V j d G l v b j E v T m 9 t Y n J l I G R l I F V w a C B m a W 5 h b C A o Y 2 9 t c G F y d G l t Z W 5 0 c y k g c G F y I F V w a C B m a W 5 h b C A o Y 2 9 t c G F y d G l t Z W 5 0 c y l f M j A y M C 9 U e X B l I G 1 v Z G l m a c O p L n t V c G h f Z m l u Y W w g K G N v b X B h c n R p b W V u d H M p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v b W J y Z S B k Z S B V c G g g Z m l u Y W w g K G N v b X B h c n R p b W V u d H M p I H B h c i B V c G g g Z m l u Y W w g K G N v b X B h c n R p b W V u d H M p X z I w M j A v V H l w Z S B t b 2 R p Z m n D q S 5 7 T m 9 t Y n J l I G R l I F V w a F 9 m a W 5 h b C A o Y 2 9 t c G F y d G l t Z W 5 0 c y k s M H 0 m c X V v d D s s J n F 1 b 3 Q 7 U 2 V j d G l v b j E v T m 9 t Y n J l I G R l I F V w a C B m a W 5 h b C A o Y 2 9 t c G F y d G l t Z W 5 0 c y k g c G F y I F V w a C B m a W 5 h b C A o Y 2 9 t c G F y d G l t Z W 5 0 c y l f M j A y M C 9 U e X B l I G 1 v Z G l m a c O p L n t V c G h f Z m l u Y W w g K G N v b X B h c n R p b W V u d H M p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y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y M C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j A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m 9 t Y n J l X 2 R l X 1 V w a F 9 m a W 5 h b F 9 f Y 2 9 t c G F y d G l t Z W 5 0 c 1 9 f c G F y X 1 V w a F 9 m a W 5 h b F 9 f Y 2 9 t c G F y d G l t Z W 5 0 c 1 9 f M j A x O V 9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z M F Q x N D o z O D o z M C 4 5 M j Q 3 M j c x W i I g L z 4 8 R W 5 0 c n k g V H l w Z T 0 i R m l s b E N v b H V t b l R 5 c G V z I i B W Y W x 1 Z T 0 i c 0 F 3 W T 0 i I C 8 + P E V u d H J 5 I F R 5 c G U 9 I k Z p b G x D b 2 x 1 b W 5 O Y W 1 l c y I g V m F s d W U 9 I n N b J n F 1 b 3 Q 7 T m 9 t Y n J l I G R l I F V w a C B m a W 5 h b C A o Y 2 9 t c G F y d G l t Z W 5 0 c y k m c X V v d D s s J n F 1 b 3 Q 7 V X B o I G Z p b m F s I C h j b 2 1 w Y X J 0 a W 1 l b n R z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v b W J y Z S B k Z S B V c G g g Z m l u Y W w g K G N v b X B h c n R p b W V u d H M p I H B h c i B V c G g g Z m l u Y W w g K G N v b X B h c n R p b W V u d H M p X z I w M T k g K D I p L 1 R 5 c G U g b W 9 k a W Z p w 6 k u e 0 5 v b W J y Z S B k Z S B V c G g g Z m l u Y W w g K G N v b X B h c n R p b W V u d H M p L D B 9 J n F 1 b 3 Q 7 L C Z x d W 9 0 O 1 N l Y 3 R p b 2 4 x L 0 5 v b W J y Z S B k Z S B V c G g g Z m l u Y W w g K G N v b X B h c n R p b W V u d H M p I H B h c i B V c G g g Z m l u Y W w g K G N v b X B h c n R p b W V u d H M p X z I w M T k g K D I p L 1 R 5 c G U g b W 9 k a W Z p w 6 k u e 1 V w a C B m a W 5 h b C A o Y 2 9 t c G F y d G l t Z W 5 0 c y k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m 9 t Y n J l I G R l I F V w a C B m a W 5 h b C A o Y 2 9 t c G F y d G l t Z W 5 0 c y k g c G F y I F V w a C B m a W 5 h b C A o Y 2 9 t c G F y d G l t Z W 5 0 c y l f M j A x O S A o M i k v V H l w Z S B t b 2 R p Z m n D q S 5 7 T m 9 t Y n J l I G R l I F V w a C B m a W 5 h b C A o Y 2 9 t c G F y d G l t Z W 5 0 c y k s M H 0 m c X V v d D s s J n F 1 b 3 Q 7 U 2 V j d G l v b j E v T m 9 t Y n J l I G R l I F V w a C B m a W 5 h b C A o Y 2 9 t c G F y d G l t Z W 5 0 c y k g c G F y I F V w a C B m a W 5 h b C A o Y 2 9 t c G F y d G l t Z W 5 0 c y l f M j A x O S A o M i k v V H l w Z S B t b 2 R p Z m n D q S 5 7 V X B o I G Z p b m F s I C h j b 2 1 w Y X J 0 a W 1 l b n R z K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T k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9 t Y n J l J T I w Z G U l M j B V c G g l M j B m a W 5 h b C U y M C h j b 2 1 w Y X J 0 a W 1 l b n R z K S U y M H B h c i U y M F V w a C U y M G Z p b m F s J T I w K G N v b X B h c n R p b W V u d H M p X z I w M T k l M j A o M i k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E 5 J T I w K D I p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y M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5 v b W J y Z V 9 k Z V 9 V c G h f Z m l u Y W x f X 2 N v b X B h c n R p b W V u d H N f X 3 B h c l 9 V c G h f Z m l u Y W x f X 2 N v b X B h c n R p b W V u d H N f X z I w M j B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z B U M T Q 6 M z k 6 M T c u N D U 4 O T U z M 1 o i I C 8 + P E V u d H J 5 I F R 5 c G U 9 I k Z p b G x D b 2 x 1 b W 5 U e X B l c y I g V m F s d W U 9 I n N B d 1 k 9 I i A v P j x F b n R y e S B U e X B l P S J G a W x s Q 2 9 s d W 1 u T m F t Z X M i I F Z h b H V l P S J z W y Z x d W 9 0 O 0 5 v b W J y Z S B k Z S B V c G h f Z m l u Y W w g K G N v b X B h c n R p b W V u d H M p J n F 1 b 3 Q 7 L C Z x d W 9 0 O 1 V w a F 9 m a W 5 h b C A o Y 2 9 t c G F y d G l t Z W 5 0 c y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b 2 1 i c m U g Z G U g V X B o I G Z p b m F s I C h j b 2 1 w Y X J 0 a W 1 l b n R z K S B w Y X I g V X B o I G Z p b m F s I C h j b 2 1 w Y X J 0 a W 1 l b n R z K V 8 y M D I w I C g y K S 9 U e X B l I G 1 v Z G l m a c O p L n t O b 2 1 i c m U g Z G U g V X B o X 2 Z p b m F s I C h j b 2 1 w Y X J 0 a W 1 l b n R z K S w w f S Z x d W 9 0 O y w m c X V v d D t T Z W N 0 a W 9 u M S 9 O b 2 1 i c m U g Z G U g V X B o I G Z p b m F s I C h j b 2 1 w Y X J 0 a W 1 l b n R z K S B w Y X I g V X B o I G Z p b m F s I C h j b 2 1 w Y X J 0 a W 1 l b n R z K V 8 y M D I w I C g y K S 9 U e X B l I G 1 v Z G l m a c O p L n t V c G h f Z m l u Y W w g K G N v b X B h c n R p b W V u d H M p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v b W J y Z S B k Z S B V c G g g Z m l u Y W w g K G N v b X B h c n R p b W V u d H M p I H B h c i B V c G g g Z m l u Y W w g K G N v b X B h c n R p b W V u d H M p X z I w M j A g K D I p L 1 R 5 c G U g b W 9 k a W Z p w 6 k u e 0 5 v b W J y Z S B k Z S B V c G h f Z m l u Y W w g K G N v b X B h c n R p b W V u d H M p L D B 9 J n F 1 b 3 Q 7 L C Z x d W 9 0 O 1 N l Y 3 R p b 2 4 x L 0 5 v b W J y Z S B k Z S B V c G g g Z m l u Y W w g K G N v b X B h c n R p b W V u d H M p I H B h c i B V c G g g Z m l u Y W w g K G N v b X B h c n R p b W V u d H M p X z I w M j A g K D I p L 1 R 5 c G U g b W 9 k a W Z p w 6 k u e 1 V w a F 9 m a W 5 h b C A o Y 2 9 t c G F y d G l t Z W 5 0 c y k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I w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b W J y Z S U y M G R l J T I w V X B o J T I w Z m l u Y W w l M j A o Y 2 9 t c G F y d G l t Z W 5 0 c y k l M j B w Y X I l M j B V c G g l M j B m a W 5 h b C U y M C h j b 2 1 w Y X J 0 a W 1 l b n R z K V 8 y M D I w J T I w K D I p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2 1 i c m U l M j B k Z S U y M F V w a C U y M G Z p b m F s J T I w K G N v b X B h c n R p b W V u d H M p J T I w c G F y J T I w V X B o J T I w Z m l u Y W w l M j A o Y 2 9 t c G F y d G l t Z W 5 0 c y l f M j A y M C U y M C g y K S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Y O O b K p M y p C n w O q 0 x q f S o A A A A A A A g A A A A A A A 2 Y A A M A A A A A Q A A A A B 6 k 5 s 0 f C r 5 k M + 7 y s J X / k J g A A A A A E g A A A o A A A A B A A A A A t e g g S U L 3 V d M R h Z 1 s J P 6 0 D U A A A A D D H u k 2 t 3 R 9 I B 5 A Y P z Y G y r S a G A e 1 / + + q k 8 0 6 E r I 5 T M V M u u f O X O O Q I T 0 Q M z E 7 Z S Z 3 L 7 C n G U O x S W s F c O 3 i P i j Y 2 P F L F o p g H T R D + r O 3 q H w / a m v k F A A A A P L C b y k 2 F 3 q M j O 3 5 K l r C E X B + s w 0 D < / D a t a M a s h u p > 
</file>

<file path=customXml/itemProps1.xml><?xml version="1.0" encoding="utf-8"?>
<ds:datastoreItem xmlns:ds="http://schemas.openxmlformats.org/officeDocument/2006/customXml" ds:itemID="{FB482BD5-B3C0-4788-BE3F-3DE6BDF019A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LC</vt:lpstr>
      <vt:lpstr>Nombre de Uph final (compar (2)</vt:lpstr>
      <vt:lpstr>Nombre de Uph final (compartime</vt:lpstr>
      <vt:lpstr>U initial</vt:lpstr>
      <vt:lpstr>Ufinal</vt:lpstr>
      <vt:lpstr>Calcul Montants CEE_rampants</vt:lpstr>
      <vt:lpstr>Calcul Montants CEE_Combles</vt:lpstr>
      <vt:lpstr>Calcul Montants CEE_Combiné</vt:lpstr>
      <vt:lpstr>CEE Montants actuels</vt:lpstr>
      <vt:lpstr>Tab_variantes_Uinit</vt:lpstr>
      <vt:lpstr>Feuil8</vt:lpstr>
      <vt:lpstr>Extract_Uinit_ADEME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ALLOUCHE</dc:creator>
  <cp:lastModifiedBy>GOISLOT Damien</cp:lastModifiedBy>
  <dcterms:created xsi:type="dcterms:W3CDTF">2021-06-10T10:10:04Z</dcterms:created>
  <dcterms:modified xsi:type="dcterms:W3CDTF">2021-09-02T09:53:24Z</dcterms:modified>
</cp:coreProperties>
</file>